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05 09 16" sheetId="1" r:id="rId1"/>
  </sheets>
  <externalReferences>
    <externalReference r:id="rId2"/>
  </externalReferences>
  <definedNames>
    <definedName name="_xlnm.Print_Titles" localSheetId="0">'05 09 16'!$A:$E</definedName>
    <definedName name="_xlnm.Print_Area" localSheetId="0">'05 09 16'!$D$1:$N$123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J117" i="1"/>
  <c r="N117" i="1" s="1"/>
  <c r="I117" i="1"/>
  <c r="H117" i="1"/>
  <c r="G117" i="1"/>
  <c r="J116" i="1"/>
  <c r="I116" i="1"/>
  <c r="H116" i="1"/>
  <c r="G116" i="1"/>
  <c r="N115" i="1"/>
  <c r="M115" i="1"/>
  <c r="L115" i="1"/>
  <c r="K115" i="1"/>
  <c r="J114" i="1"/>
  <c r="N114" i="1" s="1"/>
  <c r="I114" i="1"/>
  <c r="I112" i="1" s="1"/>
  <c r="H114" i="1"/>
  <c r="G114" i="1"/>
  <c r="N113" i="1"/>
  <c r="L113" i="1"/>
  <c r="H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J107" i="1"/>
  <c r="I107" i="1"/>
  <c r="H107" i="1"/>
  <c r="G107" i="1"/>
  <c r="J106" i="1"/>
  <c r="N106" i="1" s="1"/>
  <c r="I105" i="1"/>
  <c r="H105" i="1"/>
  <c r="G105" i="1"/>
  <c r="G91" i="1" s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J92" i="1"/>
  <c r="N92" i="1" s="1"/>
  <c r="I92" i="1"/>
  <c r="H92" i="1"/>
  <c r="G92" i="1"/>
  <c r="F92" i="1"/>
  <c r="H91" i="1"/>
  <c r="N90" i="1"/>
  <c r="M90" i="1"/>
  <c r="L90" i="1"/>
  <c r="K90" i="1"/>
  <c r="N89" i="1"/>
  <c r="M89" i="1"/>
  <c r="L89" i="1"/>
  <c r="K89" i="1"/>
  <c r="J88" i="1"/>
  <c r="N88" i="1" s="1"/>
  <c r="I88" i="1"/>
  <c r="K88" i="1" s="1"/>
  <c r="H88" i="1"/>
  <c r="G88" i="1"/>
  <c r="F88" i="1"/>
  <c r="N87" i="1"/>
  <c r="L87" i="1"/>
  <c r="N86" i="1"/>
  <c r="M86" i="1"/>
  <c r="L86" i="1"/>
  <c r="K86" i="1"/>
  <c r="N85" i="1"/>
  <c r="J85" i="1"/>
  <c r="I85" i="1"/>
  <c r="I84" i="1" s="1"/>
  <c r="H85" i="1"/>
  <c r="G85" i="1"/>
  <c r="J84" i="1"/>
  <c r="N82" i="1"/>
  <c r="L82" i="1"/>
  <c r="N81" i="1"/>
  <c r="L81" i="1"/>
  <c r="N80" i="1"/>
  <c r="L80" i="1"/>
  <c r="N79" i="1"/>
  <c r="L79" i="1"/>
  <c r="J78" i="1"/>
  <c r="I78" i="1"/>
  <c r="L78" i="1" s="1"/>
  <c r="H78" i="1"/>
  <c r="H77" i="1" s="1"/>
  <c r="G78" i="1"/>
  <c r="G77" i="1" s="1"/>
  <c r="J77" i="1"/>
  <c r="I77" i="1"/>
  <c r="N76" i="1"/>
  <c r="L76" i="1"/>
  <c r="N75" i="1"/>
  <c r="M75" i="1"/>
  <c r="L75" i="1"/>
  <c r="K75" i="1"/>
  <c r="N74" i="1"/>
  <c r="M74" i="1"/>
  <c r="L74" i="1"/>
  <c r="K74" i="1"/>
  <c r="N73" i="1"/>
  <c r="L73" i="1"/>
  <c r="J72" i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J61" i="1"/>
  <c r="L61" i="1" s="1"/>
  <c r="I61" i="1"/>
  <c r="H61" i="1"/>
  <c r="G61" i="1"/>
  <c r="N60" i="1"/>
  <c r="L60" i="1"/>
  <c r="N59" i="1"/>
  <c r="M59" i="1"/>
  <c r="L59" i="1"/>
  <c r="K59" i="1"/>
  <c r="N58" i="1"/>
  <c r="J58" i="1"/>
  <c r="I58" i="1"/>
  <c r="H58" i="1"/>
  <c r="G58" i="1"/>
  <c r="N57" i="1"/>
  <c r="L57" i="1"/>
  <c r="N56" i="1"/>
  <c r="M56" i="1"/>
  <c r="L56" i="1"/>
  <c r="K56" i="1"/>
  <c r="J55" i="1"/>
  <c r="L55" i="1" s="1"/>
  <c r="I55" i="1"/>
  <c r="K55" i="1" s="1"/>
  <c r="H55" i="1"/>
  <c r="M55" i="1" s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J44" i="1"/>
  <c r="N44" i="1" s="1"/>
  <c r="I44" i="1"/>
  <c r="H44" i="1"/>
  <c r="G44" i="1"/>
  <c r="J43" i="1"/>
  <c r="N42" i="1"/>
  <c r="L42" i="1"/>
  <c r="J41" i="1"/>
  <c r="N40" i="1"/>
  <c r="J40" i="1"/>
  <c r="L40" i="1" s="1"/>
  <c r="N39" i="1"/>
  <c r="M39" i="1"/>
  <c r="L39" i="1"/>
  <c r="K39" i="1"/>
  <c r="J38" i="1"/>
  <c r="N38" i="1" s="1"/>
  <c r="I38" i="1"/>
  <c r="H38" i="1"/>
  <c r="G38" i="1"/>
  <c r="N37" i="1"/>
  <c r="M37" i="1"/>
  <c r="L37" i="1"/>
  <c r="J36" i="1"/>
  <c r="L36" i="1" s="1"/>
  <c r="I36" i="1"/>
  <c r="H36" i="1"/>
  <c r="N36" i="1" s="1"/>
  <c r="G36" i="1"/>
  <c r="N35" i="1"/>
  <c r="M35" i="1"/>
  <c r="L35" i="1"/>
  <c r="K35" i="1"/>
  <c r="M34" i="1"/>
  <c r="K34" i="1"/>
  <c r="J34" i="1"/>
  <c r="N34" i="1" s="1"/>
  <c r="J33" i="1"/>
  <c r="I33" i="1"/>
  <c r="H33" i="1"/>
  <c r="H24" i="1" s="1"/>
  <c r="G33" i="1"/>
  <c r="N32" i="1"/>
  <c r="J32" i="1"/>
  <c r="L32" i="1" s="1"/>
  <c r="J31" i="1"/>
  <c r="N31" i="1" s="1"/>
  <c r="N30" i="1"/>
  <c r="L30" i="1"/>
  <c r="N29" i="1"/>
  <c r="L29" i="1"/>
  <c r="J28" i="1"/>
  <c r="I27" i="1"/>
  <c r="H27" i="1"/>
  <c r="G27" i="1"/>
  <c r="G24" i="1" s="1"/>
  <c r="N26" i="1"/>
  <c r="L26" i="1"/>
  <c r="L25" i="1"/>
  <c r="J25" i="1"/>
  <c r="N25" i="1" s="1"/>
  <c r="I24" i="1"/>
  <c r="J23" i="1"/>
  <c r="K23" i="1" s="1"/>
  <c r="L22" i="1"/>
  <c r="J22" i="1"/>
  <c r="N22" i="1" s="1"/>
  <c r="J21" i="1"/>
  <c r="K21" i="1" s="1"/>
  <c r="J20" i="1"/>
  <c r="L20" i="1" s="1"/>
  <c r="J19" i="1"/>
  <c r="M19" i="1" s="1"/>
  <c r="J18" i="1"/>
  <c r="N18" i="1" s="1"/>
  <c r="J17" i="1"/>
  <c r="K17" i="1" s="1"/>
  <c r="J16" i="1"/>
  <c r="L16" i="1" s="1"/>
  <c r="N15" i="1"/>
  <c r="L15" i="1"/>
  <c r="N14" i="1"/>
  <c r="M14" i="1"/>
  <c r="L14" i="1"/>
  <c r="K14" i="1"/>
  <c r="I13" i="1"/>
  <c r="H13" i="1"/>
  <c r="G13" i="1"/>
  <c r="N12" i="1"/>
  <c r="L12" i="1"/>
  <c r="J12" i="1"/>
  <c r="K12" i="1" s="1"/>
  <c r="N11" i="1"/>
  <c r="K11" i="1"/>
  <c r="J11" i="1"/>
  <c r="L11" i="1" s="1"/>
  <c r="N10" i="1"/>
  <c r="L10" i="1"/>
  <c r="N9" i="1"/>
  <c r="J9" i="1"/>
  <c r="K9" i="1" s="1"/>
  <c r="N8" i="1"/>
  <c r="J8" i="1"/>
  <c r="L8" i="1" s="1"/>
  <c r="N7" i="1"/>
  <c r="J7" i="1"/>
  <c r="I7" i="1"/>
  <c r="H7" i="1"/>
  <c r="G7" i="1"/>
  <c r="G6" i="1" s="1"/>
  <c r="F7" i="1"/>
  <c r="I6" i="1"/>
  <c r="H6" i="1"/>
  <c r="M11" i="1" l="1"/>
  <c r="M12" i="1"/>
  <c r="K18" i="1"/>
  <c r="M18" i="1"/>
  <c r="L23" i="1"/>
  <c r="N23" i="1"/>
  <c r="L34" i="1"/>
  <c r="M38" i="1"/>
  <c r="I43" i="1"/>
  <c r="G43" i="1"/>
  <c r="H84" i="1"/>
  <c r="H83" i="1" s="1"/>
  <c r="M92" i="1"/>
  <c r="J105" i="1"/>
  <c r="M105" i="1" s="1"/>
  <c r="M106" i="1"/>
  <c r="M114" i="1"/>
  <c r="M117" i="1"/>
  <c r="H5" i="1"/>
  <c r="H122" i="1" s="1"/>
  <c r="I5" i="1"/>
  <c r="G5" i="1"/>
  <c r="L18" i="1"/>
  <c r="M23" i="1"/>
  <c r="H43" i="1"/>
  <c r="G84" i="1"/>
  <c r="G83" i="1" s="1"/>
  <c r="G122" i="1" s="1"/>
  <c r="M28" i="1"/>
  <c r="J27" i="1"/>
  <c r="K33" i="1"/>
  <c r="N33" i="1"/>
  <c r="M36" i="1"/>
  <c r="N41" i="1"/>
  <c r="L41" i="1"/>
  <c r="L43" i="1"/>
  <c r="K43" i="1"/>
  <c r="N61" i="1"/>
  <c r="L72" i="1"/>
  <c r="K72" i="1"/>
  <c r="N77" i="1"/>
  <c r="L77" i="1"/>
  <c r="L84" i="1"/>
  <c r="K84" i="1"/>
  <c r="L105" i="1"/>
  <c r="M7" i="1"/>
  <c r="K16" i="1"/>
  <c r="L17" i="1"/>
  <c r="K19" i="1"/>
  <c r="K20" i="1"/>
  <c r="L21" i="1"/>
  <c r="K28" i="1"/>
  <c r="L31" i="1"/>
  <c r="L33" i="1"/>
  <c r="M43" i="1"/>
  <c r="M72" i="1"/>
  <c r="M84" i="1"/>
  <c r="L107" i="1"/>
  <c r="K107" i="1"/>
  <c r="L116" i="1"/>
  <c r="K116" i="1"/>
  <c r="K7" i="1"/>
  <c r="K8" i="1"/>
  <c r="L9" i="1"/>
  <c r="J13" i="1"/>
  <c r="M16" i="1"/>
  <c r="M17" i="1"/>
  <c r="L19" i="1"/>
  <c r="M20" i="1"/>
  <c r="M21" i="1"/>
  <c r="L28" i="1"/>
  <c r="M33" i="1"/>
  <c r="N43" i="1"/>
  <c r="L44" i="1"/>
  <c r="K44" i="1"/>
  <c r="N55" i="1"/>
  <c r="L58" i="1"/>
  <c r="K58" i="1"/>
  <c r="N72" i="1"/>
  <c r="N78" i="1"/>
  <c r="N84" i="1"/>
  <c r="L85" i="1"/>
  <c r="K85" i="1"/>
  <c r="I91" i="1"/>
  <c r="I83" i="1" s="1"/>
  <c r="I122" i="1" s="1"/>
  <c r="N105" i="1"/>
  <c r="M107" i="1"/>
  <c r="M116" i="1"/>
  <c r="L7" i="1"/>
  <c r="M8" i="1"/>
  <c r="M9" i="1"/>
  <c r="N16" i="1"/>
  <c r="N17" i="1"/>
  <c r="N19" i="1"/>
  <c r="N20" i="1"/>
  <c r="N21" i="1"/>
  <c r="N28" i="1"/>
  <c r="L38" i="1"/>
  <c r="K38" i="1"/>
  <c r="M44" i="1"/>
  <c r="M58" i="1"/>
  <c r="M85" i="1"/>
  <c r="M88" i="1"/>
  <c r="L88" i="1"/>
  <c r="L92" i="1"/>
  <c r="K92" i="1"/>
  <c r="L106" i="1"/>
  <c r="K106" i="1"/>
  <c r="N107" i="1"/>
  <c r="L114" i="1"/>
  <c r="J112" i="1"/>
  <c r="K114" i="1"/>
  <c r="N116" i="1"/>
  <c r="L117" i="1"/>
  <c r="K117" i="1"/>
  <c r="J91" i="1" l="1"/>
  <c r="K105" i="1"/>
  <c r="K13" i="1"/>
  <c r="L13" i="1"/>
  <c r="N13" i="1"/>
  <c r="M13" i="1"/>
  <c r="K91" i="1"/>
  <c r="J6" i="1"/>
  <c r="L91" i="1"/>
  <c r="N112" i="1"/>
  <c r="M112" i="1"/>
  <c r="L112" i="1"/>
  <c r="K112" i="1"/>
  <c r="J83" i="1"/>
  <c r="N27" i="1"/>
  <c r="M27" i="1"/>
  <c r="L27" i="1"/>
  <c r="K27" i="1"/>
  <c r="J24" i="1"/>
  <c r="M91" i="1" l="1"/>
  <c r="N91" i="1"/>
  <c r="L83" i="1"/>
  <c r="K83" i="1"/>
  <c r="N83" i="1"/>
  <c r="M83" i="1"/>
  <c r="N6" i="1"/>
  <c r="J5" i="1"/>
  <c r="L6" i="1"/>
  <c r="K6" i="1"/>
  <c r="M6" i="1"/>
  <c r="K24" i="1"/>
  <c r="M24" i="1"/>
  <c r="L24" i="1"/>
  <c r="N24" i="1"/>
  <c r="J122" i="1" l="1"/>
  <c r="N5" i="1"/>
  <c r="M5" i="1"/>
  <c r="L5" i="1"/>
  <c r="K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<sst xmlns="http://schemas.openxmlformats.org/spreadsheetml/2006/main" count="133" uniqueCount="131">
  <si>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станом на 05.09.2016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</si>
  <si>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</si>
  <si>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</si>
  <si>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</si>
  <si>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</si>
  <si>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</si>
  <si>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</si>
  <si>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</si>
  <si>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</si>
  <si>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січень-вересень 2016 року з урах.змін</t>
  </si>
  <si>
    <t>ФАКТ</t>
  </si>
  <si>
    <t xml:space="preserve"> % виконання до плану січня-вересня п.р.</t>
  </si>
  <si>
    <t>Відхилення факту від плану січня-вересня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</si>
  <si>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</si>
  <si>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</si>
  <si>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05.09.2016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</si>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</sst>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30" zoomScaleNormal="50" zoomScaleSheetLayoutView="30" workbookViewId="0">
      <selection activeCell="J118" sqref="J118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0" width="52.140625" style="144" customWidth="1"/>
    <col min="11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2215433.2000000002</v>
      </c>
      <c r="I5" s="23">
        <f>I6+I24+I38+I40+I43+I77</f>
        <v>1554349.2999999998</v>
      </c>
      <c r="J5" s="23">
        <f>J6+J24+J38+J40+J43+J77</f>
        <v>1843439.4293900004</v>
      </c>
      <c r="K5" s="24">
        <f>J5/I5</f>
        <v>1.1859878789085572</v>
      </c>
      <c r="L5" s="25">
        <f t="shared" ref="L5:L68" si="0">J5-I5</f>
        <v>289090.1293900006</v>
      </c>
      <c r="M5" s="26">
        <f>J5/H5</f>
        <v>0.83208982757412875</v>
      </c>
      <c r="N5" s="27">
        <f t="shared" ref="N5:N68" si="1">J5-H5</f>
        <v>-371993.77060999977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1277792.1000000001</v>
      </c>
      <c r="I6" s="31">
        <f>I7+I13</f>
        <v>891064.6</v>
      </c>
      <c r="J6" s="31">
        <f>J7+J13</f>
        <v>971330.4136100004</v>
      </c>
      <c r="K6" s="32">
        <f>J6/I6</f>
        <v>1.0900785572785636</v>
      </c>
      <c r="L6" s="31">
        <f t="shared" si="0"/>
        <v>80265.813610000419</v>
      </c>
      <c r="M6" s="26">
        <f>J6/H6</f>
        <v>0.76016310760568984</v>
      </c>
      <c r="N6" s="27">
        <f t="shared" si="1"/>
        <v>-306461.6863899997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1017008.4</v>
      </c>
      <c r="I7" s="38">
        <f>I8+I9+I11+I12+I10</f>
        <v>736866.6</v>
      </c>
      <c r="J7" s="38">
        <f>J8+J9+J11+J12+J10</f>
        <v>733297.35476000013</v>
      </c>
      <c r="K7" s="39">
        <f>J7/I7</f>
        <v>0.99515618533938188</v>
      </c>
      <c r="L7" s="40">
        <f t="shared" si="0"/>
        <v>-3569.2452399998438</v>
      </c>
      <c r="M7" s="26">
        <f>J7/H7</f>
        <v>0.72103372475586247</v>
      </c>
      <c r="N7" s="27">
        <f t="shared" si="1"/>
        <v>-283711.04523999989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924308.4</v>
      </c>
      <c r="I8" s="43">
        <v>676946.6</v>
      </c>
      <c r="J8" s="44">
        <f>1632924.85832-979754.9152</f>
        <v>653169.94312000007</v>
      </c>
      <c r="K8" s="45">
        <f>J8/I8</f>
        <v>0.96487661378312573</v>
      </c>
      <c r="L8" s="44">
        <f t="shared" si="0"/>
        <v>-23776.656879999908</v>
      </c>
      <c r="M8" s="45">
        <f>J8/H8</f>
        <v>0.70665801924985217</v>
      </c>
      <c r="N8" s="46">
        <f t="shared" si="1"/>
        <v>-271138.45687999995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5210</v>
      </c>
      <c r="J9" s="44">
        <f>14552.25861-8731.35514</f>
        <v>5820.9034700000011</v>
      </c>
      <c r="K9" s="45">
        <f>J9/I9</f>
        <v>1.1172559443378121</v>
      </c>
      <c r="L9" s="44">
        <f t="shared" si="0"/>
        <v>610.90347000000111</v>
      </c>
      <c r="M9" s="45">
        <f>J9/H9</f>
        <v>0.78660857702702713</v>
      </c>
      <c r="N9" s="46">
        <f t="shared" si="1"/>
        <v>-1579.0965299999989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32150</v>
      </c>
      <c r="J11" s="44">
        <f>99424.381-59654.62857</f>
        <v>39769.752429999993</v>
      </c>
      <c r="K11" s="45">
        <f>J11/I11</f>
        <v>1.2370062964230168</v>
      </c>
      <c r="L11" s="44">
        <f t="shared" si="0"/>
        <v>7619.7524299999932</v>
      </c>
      <c r="M11" s="45">
        <f>J11/H11</f>
        <v>0.76187265191570863</v>
      </c>
      <c r="N11" s="46">
        <f t="shared" si="1"/>
        <v>-12430.247570000007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22560</v>
      </c>
      <c r="J12" s="44">
        <f>86341.88922-51805.13348</f>
        <v>34536.755740000001</v>
      </c>
      <c r="K12" s="45">
        <f>J12/I12</f>
        <v>1.5308845629432624</v>
      </c>
      <c r="L12" s="44">
        <f t="shared" si="0"/>
        <v>11976.755740000001</v>
      </c>
      <c r="M12" s="45">
        <f>J12/H12</f>
        <v>1.0434065178247733</v>
      </c>
      <c r="N12" s="46">
        <f t="shared" si="1"/>
        <v>1436.7557400000005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260783.7</v>
      </c>
      <c r="I13" s="38">
        <f>I14+I15+I16+I17+I18+I19+I20+I21+I22+I23</f>
        <v>154198</v>
      </c>
      <c r="J13" s="38">
        <f>J14+J15+J16+J17+J18+J19+J20+J21+J22+J23</f>
        <v>238033.0588500002</v>
      </c>
      <c r="K13" s="26">
        <f>J13/I13</f>
        <v>1.5436844761280963</v>
      </c>
      <c r="L13" s="38">
        <f t="shared" si="0"/>
        <v>83835.058850000205</v>
      </c>
      <c r="M13" s="26">
        <f>J13/H13</f>
        <v>0.91276049404161452</v>
      </c>
      <c r="N13" s="27">
        <f t="shared" si="1"/>
        <v>-22750.641149999807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677</v>
      </c>
      <c r="J14" s="44">
        <v>920.08076000000005</v>
      </c>
      <c r="K14" s="45">
        <f>J14/I14</f>
        <v>1.3590557754800592</v>
      </c>
      <c r="L14" s="44">
        <f t="shared" si="0"/>
        <v>243.08076000000005</v>
      </c>
      <c r="M14" s="45">
        <f>J14/H14</f>
        <v>1.0131932166061006</v>
      </c>
      <c r="N14" s="46">
        <f t="shared" si="1"/>
        <v>11.980760000000032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87.207490000000007</v>
      </c>
      <c r="K15" s="45">
        <v>0</v>
      </c>
      <c r="L15" s="44">
        <f t="shared" si="0"/>
        <v>87.207490000000007</v>
      </c>
      <c r="M15" s="45">
        <v>0</v>
      </c>
      <c r="N15" s="46">
        <f t="shared" si="1"/>
        <v>87.207490000000007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135807</v>
      </c>
      <c r="I16" s="43">
        <v>85800</v>
      </c>
      <c r="J16" s="44">
        <f>1240443.67314-1116399.3058</f>
        <v>124044.36734000011</v>
      </c>
      <c r="K16" s="45">
        <f t="shared" ref="K16:K21" si="2">J16/I16</f>
        <v>1.4457385470862485</v>
      </c>
      <c r="L16" s="44">
        <f t="shared" si="0"/>
        <v>38244.367340000113</v>
      </c>
      <c r="M16" s="45">
        <f t="shared" ref="M16:M21" si="3">J16/H16</f>
        <v>0.91338714013268918</v>
      </c>
      <c r="N16" s="46">
        <f t="shared" si="1"/>
        <v>-11762.632659999887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9080</v>
      </c>
      <c r="J17" s="44">
        <f>111623.77669-100461.39881</f>
        <v>11162.37788</v>
      </c>
      <c r="K17" s="45">
        <f t="shared" si="2"/>
        <v>1.2293367709251102</v>
      </c>
      <c r="L17" s="44">
        <f t="shared" si="0"/>
        <v>2082.37788</v>
      </c>
      <c r="M17" s="45">
        <f t="shared" si="3"/>
        <v>0.82684280592592596</v>
      </c>
      <c r="N17" s="46">
        <f t="shared" si="1"/>
        <v>-2337.62212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53000</v>
      </c>
      <c r="I18" s="43">
        <v>19020</v>
      </c>
      <c r="J18" s="44">
        <f>396248.29337-356623.46403</f>
        <v>39624.829340000055</v>
      </c>
      <c r="K18" s="45">
        <f t="shared" si="2"/>
        <v>2.0833243606729788</v>
      </c>
      <c r="L18" s="44">
        <f t="shared" si="0"/>
        <v>20604.829340000055</v>
      </c>
      <c r="M18" s="45">
        <f t="shared" si="3"/>
        <v>0.74763828943396327</v>
      </c>
      <c r="N18" s="46">
        <f t="shared" si="1"/>
        <v>-13375.170659999945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12700</v>
      </c>
      <c r="I19" s="43">
        <v>5070</v>
      </c>
      <c r="J19" s="44">
        <f>76471.5605-68824.40443</f>
        <v>7647.1560700000118</v>
      </c>
      <c r="K19" s="45">
        <f t="shared" si="2"/>
        <v>1.5083148067061167</v>
      </c>
      <c r="L19" s="44">
        <f t="shared" si="0"/>
        <v>2577.1560700000118</v>
      </c>
      <c r="M19" s="45">
        <f t="shared" si="3"/>
        <v>0.60213827322834734</v>
      </c>
      <c r="N19" s="46">
        <f t="shared" si="1"/>
        <v>-5052.8439299999882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55</v>
      </c>
      <c r="J20" s="44">
        <f>176.46362-158.81726</f>
        <v>17.646359999999987</v>
      </c>
      <c r="K20" s="45">
        <f t="shared" si="2"/>
        <v>0.32084290909090885</v>
      </c>
      <c r="L20" s="44">
        <f t="shared" si="0"/>
        <v>-37.353640000000013</v>
      </c>
      <c r="M20" s="45">
        <f t="shared" si="3"/>
        <v>0.21363631961259066</v>
      </c>
      <c r="N20" s="46">
        <f t="shared" si="1"/>
        <v>-64.953640000000007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44680</v>
      </c>
      <c r="I21" s="43">
        <v>34420</v>
      </c>
      <c r="J21" s="44">
        <f>523414.72742-471073.25457</f>
        <v>52341.47285000002</v>
      </c>
      <c r="K21" s="45">
        <f t="shared" si="2"/>
        <v>1.5206703326554334</v>
      </c>
      <c r="L21" s="44">
        <f t="shared" si="0"/>
        <v>17921.47285000002</v>
      </c>
      <c r="M21" s="45">
        <f t="shared" si="3"/>
        <v>1.1714743252014328</v>
      </c>
      <c r="N21" s="46">
        <f t="shared" si="1"/>
        <v>7661.4728500000201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5.498-4.9482</f>
        <v>0.54980000000000029</v>
      </c>
      <c r="K22" s="45">
        <v>0</v>
      </c>
      <c r="L22" s="44">
        <f t="shared" si="0"/>
        <v>0.54980000000000029</v>
      </c>
      <c r="M22" s="45">
        <v>0</v>
      </c>
      <c r="N22" s="46">
        <f t="shared" si="1"/>
        <v>0.54980000000000029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76</v>
      </c>
      <c r="J23" s="44">
        <f>21873.70962-19686.33866</f>
        <v>2187.3709600000002</v>
      </c>
      <c r="K23" s="45">
        <f>J23/I23</f>
        <v>28.781196842105267</v>
      </c>
      <c r="L23" s="44">
        <f t="shared" si="0"/>
        <v>2111.3709600000002</v>
      </c>
      <c r="M23" s="45">
        <f>J23/H23</f>
        <v>20.635575094339625</v>
      </c>
      <c r="N23" s="46">
        <f t="shared" si="1"/>
        <v>2081.3709600000002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8102.5</v>
      </c>
      <c r="J24" s="38">
        <f>J25+J27+J33+J36</f>
        <v>13770.587030000004</v>
      </c>
      <c r="K24" s="26">
        <f>J24/I24</f>
        <v>1.6995479210120339</v>
      </c>
      <c r="L24" s="38">
        <f t="shared" si="0"/>
        <v>5668.0870300000042</v>
      </c>
      <c r="M24" s="26">
        <f>J24/H24</f>
        <v>0.96782400199600827</v>
      </c>
      <c r="N24" s="27">
        <f t="shared" si="1"/>
        <v>-457.8129699999954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46.055480000000003</v>
      </c>
      <c r="K25" s="45">
        <v>0</v>
      </c>
      <c r="L25" s="44">
        <f t="shared" si="0"/>
        <v>46.055480000000003</v>
      </c>
      <c r="M25" s="45">
        <v>0</v>
      </c>
      <c r="N25" s="27">
        <f t="shared" si="1"/>
        <v>46.055480000000003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46.055480000000003</v>
      </c>
      <c r="K26" s="45">
        <v>0</v>
      </c>
      <c r="L26" s="44">
        <f t="shared" si="0"/>
        <v>46.055480000000003</v>
      </c>
      <c r="M26" s="45">
        <v>0</v>
      </c>
      <c r="N26" s="46">
        <f t="shared" si="1"/>
        <v>46.055480000000003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7820</v>
      </c>
      <c r="J27" s="51">
        <f>J28+J29+J31+J32+J30</f>
        <v>12810.701030000004</v>
      </c>
      <c r="K27" s="26">
        <f>J27/I27</f>
        <v>1.638197062659847</v>
      </c>
      <c r="L27" s="38">
        <f t="shared" si="0"/>
        <v>4990.7010300000038</v>
      </c>
      <c r="M27" s="26">
        <f>J27/H27</f>
        <v>0.92965900072568963</v>
      </c>
      <c r="N27" s="27">
        <f t="shared" si="1"/>
        <v>-969.29896999999619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7820</v>
      </c>
      <c r="J28" s="44">
        <f>25592.84801-12796.42414</f>
        <v>12796.423870000002</v>
      </c>
      <c r="K28" s="45">
        <f>J28/I28</f>
        <v>1.6363713388746806</v>
      </c>
      <c r="L28" s="44">
        <f t="shared" si="0"/>
        <v>4976.4238700000024</v>
      </c>
      <c r="M28" s="45">
        <f>J28/H28</f>
        <v>0.92862292235123389</v>
      </c>
      <c r="N28" s="46">
        <f t="shared" si="1"/>
        <v>-983.57612999999765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2.3178700000000001</v>
      </c>
      <c r="K29" s="45">
        <v>0</v>
      </c>
      <c r="L29" s="44">
        <f t="shared" si="0"/>
        <v>2.3178700000000001</v>
      </c>
      <c r="M29" s="45">
        <v>0</v>
      </c>
      <c r="N29" s="46">
        <f t="shared" si="1"/>
        <v>2.3178700000000001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0.51858-0.2593</f>
        <v>0.25928000000000007</v>
      </c>
      <c r="K31" s="45">
        <v>0</v>
      </c>
      <c r="L31" s="44">
        <f t="shared" si="0"/>
        <v>0.25928000000000007</v>
      </c>
      <c r="M31" s="45">
        <v>0</v>
      </c>
      <c r="N31" s="46">
        <f t="shared" si="1"/>
        <v>0.25928000000000007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23.40001-11.7</f>
        <v>11.700010000000002</v>
      </c>
      <c r="K32" s="45">
        <v>0</v>
      </c>
      <c r="L32" s="44">
        <f t="shared" si="0"/>
        <v>11.700010000000002</v>
      </c>
      <c r="M32" s="45">
        <v>0</v>
      </c>
      <c r="N32" s="46">
        <f t="shared" si="1"/>
        <v>11.700010000000002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282.10000000000002</v>
      </c>
      <c r="J33" s="38">
        <f>J35+J34</f>
        <v>913.00163999999995</v>
      </c>
      <c r="K33" s="26">
        <f>J33/I33</f>
        <v>3.2364467919177593</v>
      </c>
      <c r="L33" s="38">
        <f t="shared" si="0"/>
        <v>630.90163999999993</v>
      </c>
      <c r="M33" s="26">
        <f t="shared" ref="M33:M39" si="4">J33/H33</f>
        <v>2.0429663011859476</v>
      </c>
      <c r="N33" s="27">
        <f t="shared" si="1"/>
        <v>466.10163999999997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80.099999999999994</v>
      </c>
      <c r="J34" s="44">
        <f>300.21867-225.16384</f>
        <v>75.054829999999981</v>
      </c>
      <c r="K34" s="45">
        <f>J34/I34</f>
        <v>0.9370141073657926</v>
      </c>
      <c r="L34" s="44">
        <f t="shared" si="0"/>
        <v>-5.045170000000013</v>
      </c>
      <c r="M34" s="45">
        <f t="shared" si="4"/>
        <v>0.74311712871287106</v>
      </c>
      <c r="N34" s="46">
        <f t="shared" si="1"/>
        <v>-25.945170000000019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202</v>
      </c>
      <c r="J35" s="44">
        <v>837.94681000000003</v>
      </c>
      <c r="K35" s="45">
        <f>J35/I35</f>
        <v>4.1482515346534656</v>
      </c>
      <c r="L35" s="44">
        <f t="shared" si="0"/>
        <v>635.94681000000003</v>
      </c>
      <c r="M35" s="45">
        <f t="shared" si="4"/>
        <v>2.4225117374963863</v>
      </c>
      <c r="N35" s="46">
        <f t="shared" si="1"/>
        <v>492.04681000000005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0.4</v>
      </c>
      <c r="J36" s="51">
        <f>J37</f>
        <v>0.82887999999999995</v>
      </c>
      <c r="K36" s="26">
        <v>0</v>
      </c>
      <c r="L36" s="38">
        <f t="shared" si="0"/>
        <v>0.42887999999999993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0.4</v>
      </c>
      <c r="J37" s="44">
        <v>0.82887999999999995</v>
      </c>
      <c r="K37" s="45">
        <v>0</v>
      </c>
      <c r="L37" s="44">
        <f t="shared" si="0"/>
        <v>0.42887999999999993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141314</v>
      </c>
      <c r="I38" s="38">
        <f>I39</f>
        <v>107827.5</v>
      </c>
      <c r="J38" s="38">
        <f>J39</f>
        <v>120615.41058</v>
      </c>
      <c r="K38" s="26">
        <f>J38/I38</f>
        <v>1.118596003616888</v>
      </c>
      <c r="L38" s="38">
        <f t="shared" si="0"/>
        <v>12787.910579999996</v>
      </c>
      <c r="M38" s="26">
        <f t="shared" si="4"/>
        <v>0.85352768006000823</v>
      </c>
      <c r="N38" s="27">
        <f t="shared" si="1"/>
        <v>-20698.589420000004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141314</v>
      </c>
      <c r="I39" s="43">
        <v>107827.5</v>
      </c>
      <c r="J39" s="44">
        <v>120615.41058</v>
      </c>
      <c r="K39" s="45">
        <f>J39/I39</f>
        <v>1.118596003616888</v>
      </c>
      <c r="L39" s="44">
        <f t="shared" si="0"/>
        <v>12787.910579999996</v>
      </c>
      <c r="M39" s="45">
        <f t="shared" si="4"/>
        <v>0.85352768006000823</v>
      </c>
      <c r="N39" s="46">
        <f t="shared" si="1"/>
        <v>-20698.589420000004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782098.7</v>
      </c>
      <c r="I43" s="38">
        <f>I44+I56+I58+I61+I72</f>
        <v>547354.69999999995</v>
      </c>
      <c r="J43" s="38">
        <f>J44+J56+J58+J61+J72</f>
        <v>737722.99141000002</v>
      </c>
      <c r="K43" s="26">
        <f>J43/I43</f>
        <v>1.3477969430243315</v>
      </c>
      <c r="L43" s="38">
        <f t="shared" si="0"/>
        <v>190368.29141000006</v>
      </c>
      <c r="M43" s="26">
        <f t="shared" ref="M43:M56" si="5">J43/H43</f>
        <v>0.9432607309154204</v>
      </c>
      <c r="N43" s="27">
        <f t="shared" si="1"/>
        <v>-44375.708589999937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565829.89999999991</v>
      </c>
      <c r="I44" s="38">
        <f>I45+I46+I47+I48+I49+I50+I51+I52+I54+I53</f>
        <v>391908.4</v>
      </c>
      <c r="J44" s="38">
        <f>J45+J46+J47+J48+J49+J50+J51+J52+J54+J53</f>
        <v>524561.21033999999</v>
      </c>
      <c r="K44" s="26">
        <f>J44/I44</f>
        <v>1.3384791199678292</v>
      </c>
      <c r="L44" s="38">
        <f t="shared" si="0"/>
        <v>132652.81033999997</v>
      </c>
      <c r="M44" s="26">
        <f t="shared" si="5"/>
        <v>0.92706520164452266</v>
      </c>
      <c r="N44" s="27">
        <f t="shared" si="1"/>
        <v>-41268.689659999916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807</v>
      </c>
      <c r="J45" s="44">
        <v>1557.7111500000001</v>
      </c>
      <c r="K45" s="45">
        <f>J45/I45</f>
        <v>1.9302492565055762</v>
      </c>
      <c r="L45" s="44">
        <f t="shared" si="0"/>
        <v>750.71115000000009</v>
      </c>
      <c r="M45" s="45">
        <f t="shared" si="5"/>
        <v>0.9510997374526805</v>
      </c>
      <c r="N45" s="46">
        <f t="shared" si="1"/>
        <v>-80.088849999999866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803</v>
      </c>
      <c r="J46" s="44">
        <v>855.21515999999997</v>
      </c>
      <c r="K46" s="45">
        <f>J46/I46</f>
        <v>1.0650251058530511</v>
      </c>
      <c r="L46" s="44">
        <f t="shared" si="0"/>
        <v>52.215159999999969</v>
      </c>
      <c r="M46" s="45">
        <f t="shared" si="5"/>
        <v>0.71752257739743264</v>
      </c>
      <c r="N46" s="46">
        <f t="shared" si="1"/>
        <v>-336.68484000000012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86.4803</v>
      </c>
      <c r="K47" s="45">
        <v>0</v>
      </c>
      <c r="L47" s="44">
        <f t="shared" si="0"/>
        <v>83.4803</v>
      </c>
      <c r="M47" s="45">
        <f t="shared" si="5"/>
        <v>6.2666884057971011</v>
      </c>
      <c r="N47" s="46">
        <f t="shared" si="1"/>
        <v>72.680300000000003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32508.3</v>
      </c>
      <c r="I48" s="43">
        <v>15110</v>
      </c>
      <c r="J48" s="44">
        <v>24172.678530000001</v>
      </c>
      <c r="K48" s="45">
        <f>J48/I48</f>
        <v>1.5997801806750498</v>
      </c>
      <c r="L48" s="44">
        <f t="shared" si="0"/>
        <v>9062.678530000001</v>
      </c>
      <c r="M48" s="45">
        <f t="shared" si="5"/>
        <v>0.74358482387574876</v>
      </c>
      <c r="N48" s="46">
        <f t="shared" si="1"/>
        <v>-8335.6214699999982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182812.5</v>
      </c>
      <c r="I49" s="43">
        <v>130100</v>
      </c>
      <c r="J49" s="44">
        <v>176068.86233</v>
      </c>
      <c r="K49" s="45">
        <f>J49/I49</f>
        <v>1.3533348372790162</v>
      </c>
      <c r="L49" s="44">
        <f t="shared" si="0"/>
        <v>45968.862330000004</v>
      </c>
      <c r="M49" s="45">
        <f t="shared" si="5"/>
        <v>0.96311172556581204</v>
      </c>
      <c r="N49" s="46">
        <f t="shared" si="1"/>
        <v>-6743.6376699999964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326367.3</v>
      </c>
      <c r="I50" s="43">
        <v>230000</v>
      </c>
      <c r="J50" s="44">
        <v>307000.01244999998</v>
      </c>
      <c r="K50" s="45">
        <f>J50/I50</f>
        <v>1.3347826628260868</v>
      </c>
      <c r="L50" s="44">
        <f t="shared" si="0"/>
        <v>77000.01244999998</v>
      </c>
      <c r="M50" s="45">
        <f t="shared" si="5"/>
        <v>0.9406580023488873</v>
      </c>
      <c r="N50" s="46">
        <f t="shared" si="1"/>
        <v>-19367.287550000008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5130</v>
      </c>
      <c r="J51" s="44">
        <v>7881.7019799999998</v>
      </c>
      <c r="K51" s="45">
        <f>J51/I51</f>
        <v>1.536394148148148</v>
      </c>
      <c r="L51" s="44">
        <f t="shared" si="0"/>
        <v>2751.7019799999998</v>
      </c>
      <c r="M51" s="45">
        <f t="shared" si="5"/>
        <v>1.1178609187740225</v>
      </c>
      <c r="N51" s="46">
        <f t="shared" si="1"/>
        <v>831.00198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1621</v>
      </c>
      <c r="J52" s="44">
        <v>1414.92705</v>
      </c>
      <c r="K52" s="45">
        <f>J52/I52</f>
        <v>0.87287294879703892</v>
      </c>
      <c r="L52" s="44">
        <f t="shared" si="0"/>
        <v>-206.07294999999999</v>
      </c>
      <c r="M52" s="45">
        <f t="shared" si="5"/>
        <v>0.32181569131394</v>
      </c>
      <c r="N52" s="46">
        <f t="shared" si="1"/>
        <v>-2981.7729499999996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5062.8999999999996</v>
      </c>
      <c r="J53" s="44">
        <v>3316.4708300000002</v>
      </c>
      <c r="K53" s="45">
        <v>0</v>
      </c>
      <c r="L53" s="44">
        <f t="shared" si="0"/>
        <v>-1746.4291699999994</v>
      </c>
      <c r="M53" s="45">
        <f t="shared" si="5"/>
        <v>0.55459378428093653</v>
      </c>
      <c r="N53" s="46">
        <f t="shared" si="1"/>
        <v>-2663.5291699999998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3870.9</v>
      </c>
      <c r="I54" s="43">
        <v>3271.5</v>
      </c>
      <c r="J54" s="44">
        <v>2207.15056</v>
      </c>
      <c r="K54" s="45">
        <v>0</v>
      </c>
      <c r="L54" s="44">
        <f t="shared" si="0"/>
        <v>-1064.34944</v>
      </c>
      <c r="M54" s="45">
        <f t="shared" si="5"/>
        <v>0.57019053966777755</v>
      </c>
      <c r="N54" s="46">
        <f t="shared" si="1"/>
        <v>-1663.74944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1613.3</v>
      </c>
      <c r="J55" s="38">
        <f>J56</f>
        <v>1301.4552799999999</v>
      </c>
      <c r="K55" s="26">
        <f>J55/I55</f>
        <v>0.80670382445918298</v>
      </c>
      <c r="L55" s="38">
        <f t="shared" si="0"/>
        <v>-311.84472000000005</v>
      </c>
      <c r="M55" s="26">
        <f t="shared" si="5"/>
        <v>0.30889214629862577</v>
      </c>
      <c r="N55" s="27">
        <f t="shared" si="1"/>
        <v>-2911.8447200000001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1613.3</v>
      </c>
      <c r="J56" s="44">
        <v>1301.4552799999999</v>
      </c>
      <c r="K56" s="45">
        <f>J56/I56</f>
        <v>0.80670382445918298</v>
      </c>
      <c r="L56" s="44">
        <f t="shared" si="0"/>
        <v>-311.84472000000005</v>
      </c>
      <c r="M56" s="45">
        <f t="shared" si="5"/>
        <v>0.30889214629862577</v>
      </c>
      <c r="N56" s="46">
        <f t="shared" si="1"/>
        <v>-2911.8447200000001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997.8</v>
      </c>
      <c r="I58" s="38">
        <f>I59+I60</f>
        <v>383</v>
      </c>
      <c r="J58" s="38">
        <f>J59+J60</f>
        <v>894.02481999999998</v>
      </c>
      <c r="K58" s="26">
        <f>J58/I58</f>
        <v>2.3342684595300263</v>
      </c>
      <c r="L58" s="38">
        <f t="shared" si="0"/>
        <v>511.02481999999998</v>
      </c>
      <c r="M58" s="26">
        <f>J58/H58</f>
        <v>0.8959960112246943</v>
      </c>
      <c r="N58" s="27">
        <f t="shared" si="1"/>
        <v>-103.77517999999998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997.8</v>
      </c>
      <c r="I59" s="43">
        <v>383</v>
      </c>
      <c r="J59" s="44">
        <v>859.41525999999999</v>
      </c>
      <c r="K59" s="45">
        <f>J59/I59</f>
        <v>2.2439040731070494</v>
      </c>
      <c r="L59" s="44">
        <f t="shared" si="0"/>
        <v>476.41525999999999</v>
      </c>
      <c r="M59" s="45">
        <f>J59/H59</f>
        <v>0.86131014231308878</v>
      </c>
      <c r="N59" s="46">
        <f t="shared" si="1"/>
        <v>-138.38473999999997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34.609560000000002</v>
      </c>
      <c r="K60" s="45">
        <v>0</v>
      </c>
      <c r="L60" s="44">
        <f t="shared" si="0"/>
        <v>34.609560000000002</v>
      </c>
      <c r="M60" s="45">
        <v>0</v>
      </c>
      <c r="N60" s="46">
        <f t="shared" si="1"/>
        <v>34.609560000000002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-133.44092000000001</v>
      </c>
      <c r="K61" s="26">
        <v>0</v>
      </c>
      <c r="L61" s="38">
        <f t="shared" si="0"/>
        <v>-133.44092000000001</v>
      </c>
      <c r="M61" s="26">
        <v>0</v>
      </c>
      <c r="N61" s="27">
        <f t="shared" si="1"/>
        <v>-133.44092000000001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-11.49052</v>
      </c>
      <c r="K62" s="45">
        <v>0</v>
      </c>
      <c r="L62" s="44">
        <f t="shared" si="0"/>
        <v>-11.49052</v>
      </c>
      <c r="M62" s="45">
        <v>0</v>
      </c>
      <c r="N62" s="46">
        <f t="shared" si="1"/>
        <v>-11.49052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-79.578220000000002</v>
      </c>
      <c r="K63" s="45">
        <v>0</v>
      </c>
      <c r="L63" s="44">
        <f t="shared" si="0"/>
        <v>-79.578220000000002</v>
      </c>
      <c r="M63" s="45">
        <v>0</v>
      </c>
      <c r="N63" s="46">
        <f t="shared" si="1"/>
        <v>-79.578220000000002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4</v>
      </c>
      <c r="K65" s="45">
        <v>0</v>
      </c>
      <c r="L65" s="44">
        <f t="shared" si="0"/>
        <v>4</v>
      </c>
      <c r="M65" s="45">
        <v>0</v>
      </c>
      <c r="N65" s="46">
        <f t="shared" si="1"/>
        <v>4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-9.7104300000000006</v>
      </c>
      <c r="K66" s="45">
        <v>0</v>
      </c>
      <c r="L66" s="44">
        <f t="shared" si="0"/>
        <v>-9.7104300000000006</v>
      </c>
      <c r="M66" s="45">
        <v>0</v>
      </c>
      <c r="N66" s="46">
        <f t="shared" si="1"/>
        <v>-9.7104300000000006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-28.230450000000001</v>
      </c>
      <c r="K67" s="45">
        <v>0</v>
      </c>
      <c r="L67" s="44">
        <f t="shared" si="0"/>
        <v>-28.230450000000001</v>
      </c>
      <c r="M67" s="45">
        <v>0</v>
      </c>
      <c r="N67" s="46">
        <f t="shared" si="1"/>
        <v>-28.230450000000001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-8.4313000000000002</v>
      </c>
      <c r="K69" s="45">
        <v>0</v>
      </c>
      <c r="L69" s="44">
        <f t="shared" ref="L69:L122" si="6">J69-I69</f>
        <v>-8.4313000000000002</v>
      </c>
      <c r="M69" s="45">
        <v>0</v>
      </c>
      <c r="N69" s="46">
        <f t="shared" ref="N69:N122" si="7">J69-H69</f>
        <v>-8.4313000000000002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211057.7</v>
      </c>
      <c r="I72" s="38">
        <f>I74+I75+I73+I76</f>
        <v>153450</v>
      </c>
      <c r="J72" s="38">
        <f>J74+J75+J73+J76</f>
        <v>211099.74188999998</v>
      </c>
      <c r="K72" s="26">
        <f>J72/I72</f>
        <v>1.3756907259042033</v>
      </c>
      <c r="L72" s="38">
        <f t="shared" si="6"/>
        <v>57649.741889999976</v>
      </c>
      <c r="M72" s="26">
        <f>J72/H72</f>
        <v>1.000199196191373</v>
      </c>
      <c r="N72" s="27">
        <f t="shared" si="7"/>
        <v>42.041889999964042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si="6"/>
        <v>0</v>
      </c>
      <c r="M73" s="45">
        <v>0</v>
      </c>
      <c r="N73" s="46">
        <f t="shared" si="7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74600</v>
      </c>
      <c r="I74" s="43">
        <v>51950</v>
      </c>
      <c r="J74" s="44">
        <v>71735.613819999999</v>
      </c>
      <c r="K74" s="45">
        <f>J74/I74</f>
        <v>1.3808587838306063</v>
      </c>
      <c r="L74" s="44">
        <f t="shared" si="6"/>
        <v>19785.613819999999</v>
      </c>
      <c r="M74" s="45">
        <f>J74/H74</f>
        <v>0.96160340241286857</v>
      </c>
      <c r="N74" s="46">
        <f t="shared" si="7"/>
        <v>-2864.3861800000013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136457.70000000001</v>
      </c>
      <c r="I75" s="43">
        <v>101500</v>
      </c>
      <c r="J75" s="44">
        <v>139361.69983999999</v>
      </c>
      <c r="K75" s="45">
        <f>J75/I75</f>
        <v>1.3730216733004925</v>
      </c>
      <c r="L75" s="44">
        <f t="shared" si="6"/>
        <v>37861.699839999987</v>
      </c>
      <c r="M75" s="45">
        <f>J75/H75</f>
        <v>1.0212813189728389</v>
      </c>
      <c r="N75" s="46">
        <f t="shared" si="7"/>
        <v>2903.9998399999749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36739.769999999997</v>
      </c>
      <c r="I83" s="38">
        <f>I84+I91+I112</f>
        <v>26180.370000000003</v>
      </c>
      <c r="J83" s="38">
        <f>J84+J91+J112</f>
        <v>25825.100690000003</v>
      </c>
      <c r="K83" s="26">
        <f>J83/I83</f>
        <v>0.98642993548219526</v>
      </c>
      <c r="L83" s="38">
        <f t="shared" si="6"/>
        <v>-355.26930999999968</v>
      </c>
      <c r="M83" s="26">
        <f>J83/H83</f>
        <v>0.70291949813512733</v>
      </c>
      <c r="N83" s="27">
        <f t="shared" si="7"/>
        <v>-10914.669309999994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1656.5</v>
      </c>
      <c r="I84" s="38">
        <f>I85+I88</f>
        <v>703.5</v>
      </c>
      <c r="J84" s="38">
        <f>J85+J88</f>
        <v>1812.6403399999999</v>
      </c>
      <c r="K84" s="26">
        <f>J84/I84</f>
        <v>2.5766031840796018</v>
      </c>
      <c r="L84" s="38">
        <f t="shared" si="6"/>
        <v>1109.1403399999999</v>
      </c>
      <c r="M84" s="26">
        <f>J84/H84</f>
        <v>1.0942591850286749</v>
      </c>
      <c r="N84" s="27">
        <f t="shared" si="7"/>
        <v>156.14033999999992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1221.5</v>
      </c>
      <c r="I85" s="38">
        <f>I87+I86</f>
        <v>506</v>
      </c>
      <c r="J85" s="38">
        <f>J87+J86</f>
        <v>1489.0697599999999</v>
      </c>
      <c r="K85" s="26">
        <f>J85/I85</f>
        <v>2.9428256126482211</v>
      </c>
      <c r="L85" s="38">
        <f t="shared" si="6"/>
        <v>983.06975999999986</v>
      </c>
      <c r="M85" s="26">
        <f>J85/H85</f>
        <v>1.2190501514531313</v>
      </c>
      <c r="N85" s="27">
        <f t="shared" si="7"/>
        <v>267.56975999999986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1221.5</v>
      </c>
      <c r="I86" s="43">
        <v>506</v>
      </c>
      <c r="J86" s="44">
        <v>1438.94175</v>
      </c>
      <c r="K86" s="45">
        <f>J86/I86</f>
        <v>2.8437583992094861</v>
      </c>
      <c r="L86" s="44">
        <f t="shared" si="6"/>
        <v>932.94174999999996</v>
      </c>
      <c r="M86" s="45">
        <f>J86/H86</f>
        <v>1.178012075317233</v>
      </c>
      <c r="N86" s="46">
        <f t="shared" si="7"/>
        <v>217.44174999999996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197.5</v>
      </c>
      <c r="J88" s="38">
        <f>J90+J89</f>
        <v>323.57058000000001</v>
      </c>
      <c r="K88" s="26">
        <f>J88/I88</f>
        <v>1.6383320506329113</v>
      </c>
      <c r="L88" s="38">
        <f t="shared" si="6"/>
        <v>126.07058000000001</v>
      </c>
      <c r="M88" s="26">
        <f t="shared" ref="M88:M93" si="8">J88/H88</f>
        <v>0.74384041379310351</v>
      </c>
      <c r="N88" s="27">
        <f t="shared" si="7"/>
        <v>-111.42941999999999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4.5</v>
      </c>
      <c r="J89" s="44">
        <v>-4.2523400000000002</v>
      </c>
      <c r="K89" s="45">
        <f>J89/I89</f>
        <v>-0.9449644444444445</v>
      </c>
      <c r="L89" s="44">
        <f t="shared" si="6"/>
        <v>-8.7523400000000002</v>
      </c>
      <c r="M89" s="45">
        <f t="shared" si="8"/>
        <v>-0.32963875968992251</v>
      </c>
      <c r="N89" s="46">
        <f t="shared" si="7"/>
        <v>-17.152340000000002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193</v>
      </c>
      <c r="J90" s="44">
        <v>327.82292000000001</v>
      </c>
      <c r="K90" s="45">
        <f>J90/I90</f>
        <v>1.6985643523316063</v>
      </c>
      <c r="L90" s="44">
        <f t="shared" si="6"/>
        <v>134.82292000000001</v>
      </c>
      <c r="M90" s="45">
        <f t="shared" si="8"/>
        <v>0.77664752428334516</v>
      </c>
      <c r="N90" s="46">
        <f t="shared" si="7"/>
        <v>-94.277080000000012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34427.369999999995</v>
      </c>
      <c r="I91" s="38">
        <f>I92+I105+I107</f>
        <v>25145.870000000003</v>
      </c>
      <c r="J91" s="38">
        <f>J92+J105+J107</f>
        <v>23450.519810000002</v>
      </c>
      <c r="K91" s="26">
        <f>J91/I91</f>
        <v>0.93257937824382287</v>
      </c>
      <c r="L91" s="38">
        <f t="shared" si="6"/>
        <v>-1695.350190000001</v>
      </c>
      <c r="M91" s="26">
        <f t="shared" si="8"/>
        <v>0.68115920007830988</v>
      </c>
      <c r="N91" s="27">
        <f t="shared" si="7"/>
        <v>-10976.850189999994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H93+H96+H97+H98+H99+H100+H101+H104+H102+H103+H94+H95</f>
        <v>29174.469999999998</v>
      </c>
      <c r="I92" s="59">
        <f>I93+I96+I97+I98+I99+I100+I101+I104+I102+I103+I94+I95</f>
        <v>21550.47</v>
      </c>
      <c r="J92" s="59">
        <f>J93+J96+J97+J98+J99+J100+J101+J104+J102+J103+J94+J95</f>
        <v>20210.609600000003</v>
      </c>
      <c r="K92" s="45">
        <f>J92/I92</f>
        <v>0.93782685946060584</v>
      </c>
      <c r="L92" s="44">
        <f t="shared" si="6"/>
        <v>-1339.8603999999978</v>
      </c>
      <c r="M92" s="45">
        <f t="shared" si="8"/>
        <v>0.69274984601262701</v>
      </c>
      <c r="N92" s="46">
        <f t="shared" si="7"/>
        <v>-8963.8603999999941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0.1</v>
      </c>
      <c r="J93" s="59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290</v>
      </c>
      <c r="I94" s="59">
        <v>290</v>
      </c>
      <c r="J94" s="44">
        <v>516.28368999999998</v>
      </c>
      <c r="K94" s="45">
        <v>0</v>
      </c>
      <c r="L94" s="44">
        <f t="shared" si="6"/>
        <v>226.28368999999998</v>
      </c>
      <c r="M94" s="45">
        <v>0</v>
      </c>
      <c r="N94" s="46">
        <f t="shared" si="7"/>
        <v>226.28368999999998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2.34</v>
      </c>
      <c r="K95" s="45">
        <v>0</v>
      </c>
      <c r="L95" s="44">
        <f t="shared" si="6"/>
        <v>2.34</v>
      </c>
      <c r="M95" s="45">
        <v>0</v>
      </c>
      <c r="N95" s="46">
        <f t="shared" si="7"/>
        <v>2.34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2.6</v>
      </c>
      <c r="J96" s="44">
        <v>0</v>
      </c>
      <c r="K96" s="45">
        <v>0</v>
      </c>
      <c r="L96" s="44">
        <f t="shared" si="6"/>
        <v>-2.6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7.02</v>
      </c>
      <c r="K97" s="45">
        <v>0</v>
      </c>
      <c r="L97" s="44">
        <f t="shared" si="6"/>
        <v>7.02</v>
      </c>
      <c r="M97" s="45">
        <v>0</v>
      </c>
      <c r="N97" s="46">
        <f t="shared" si="7"/>
        <v>7.02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53</v>
      </c>
      <c r="J98" s="44">
        <v>7.8448500000000001</v>
      </c>
      <c r="K98" s="45">
        <f>J98/I98</f>
        <v>0.14801603773584907</v>
      </c>
      <c r="L98" s="44">
        <f t="shared" si="6"/>
        <v>-45.155149999999999</v>
      </c>
      <c r="M98" s="45">
        <f>J98/H98</f>
        <v>0.10956494413407822</v>
      </c>
      <c r="N98" s="46">
        <f t="shared" si="7"/>
        <v>-63.755149999999993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3815.6</v>
      </c>
      <c r="I99" s="43">
        <v>3000</v>
      </c>
      <c r="J99" s="44">
        <v>2501.56</v>
      </c>
      <c r="K99" s="45">
        <v>0</v>
      </c>
      <c r="L99" s="44">
        <f t="shared" si="6"/>
        <v>-498.44000000000005</v>
      </c>
      <c r="M99" s="45">
        <f>J99/H99</f>
        <v>0.65561379599538738</v>
      </c>
      <c r="N99" s="46">
        <f t="shared" si="7"/>
        <v>-1314.04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10207.299999999999</v>
      </c>
      <c r="I100" s="43">
        <v>7740</v>
      </c>
      <c r="J100" s="44">
        <v>7202.9449999999997</v>
      </c>
      <c r="K100" s="45">
        <f>J100/I100</f>
        <v>0.93061304909560716</v>
      </c>
      <c r="L100" s="44">
        <f t="shared" si="6"/>
        <v>-537.05500000000029</v>
      </c>
      <c r="M100" s="45">
        <f>J100/H100</f>
        <v>0.70566604293005986</v>
      </c>
      <c r="N100" s="46">
        <f t="shared" si="7"/>
        <v>-3004.3549999999996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745</v>
      </c>
      <c r="J101" s="44">
        <v>495.45661999999999</v>
      </c>
      <c r="K101" s="45">
        <f>J101/I101</f>
        <v>0.66504244295302006</v>
      </c>
      <c r="L101" s="44">
        <f t="shared" si="6"/>
        <v>-249.54338000000001</v>
      </c>
      <c r="M101" s="45">
        <f>J101/H101</f>
        <v>0.46222280063438748</v>
      </c>
      <c r="N101" s="46">
        <f t="shared" si="7"/>
        <v>-576.44338000000016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13060.07</v>
      </c>
      <c r="I102" s="43">
        <v>9068.27</v>
      </c>
      <c r="J102" s="44">
        <v>8505.0959700000003</v>
      </c>
      <c r="K102" s="45">
        <f>J102/I102</f>
        <v>0.93789619960587856</v>
      </c>
      <c r="L102" s="44">
        <f t="shared" si="6"/>
        <v>-563.17403000000013</v>
      </c>
      <c r="M102" s="45">
        <f>J102/H102</f>
        <v>0.65122897273904357</v>
      </c>
      <c r="N102" s="46">
        <f t="shared" si="7"/>
        <v>-4554.9740299999994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579.79999999999995</v>
      </c>
      <c r="I103" s="43">
        <v>579.79999999999995</v>
      </c>
      <c r="J103" s="44">
        <v>859.65863999999999</v>
      </c>
      <c r="K103" s="45">
        <v>0</v>
      </c>
      <c r="L103" s="44">
        <f t="shared" si="6"/>
        <v>279.85864000000004</v>
      </c>
      <c r="M103" s="45">
        <v>0</v>
      </c>
      <c r="N103" s="46">
        <f t="shared" si="7"/>
        <v>279.85864000000004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71.7</v>
      </c>
      <c r="I104" s="43">
        <v>71.7</v>
      </c>
      <c r="J104" s="44">
        <v>112.40483</v>
      </c>
      <c r="K104" s="45">
        <v>0</v>
      </c>
      <c r="L104" s="44">
        <f t="shared" si="6"/>
        <v>40.704830000000001</v>
      </c>
      <c r="M104" s="45">
        <v>0</v>
      </c>
      <c r="N104" s="46">
        <f t="shared" si="7"/>
        <v>40.704830000000001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1600</v>
      </c>
      <c r="J105" s="51">
        <f>J106</f>
        <v>1227.9283499999999</v>
      </c>
      <c r="K105" s="26">
        <f>J105/I105</f>
        <v>0.76745521874999989</v>
      </c>
      <c r="L105" s="38">
        <f t="shared" si="6"/>
        <v>-372.07165000000009</v>
      </c>
      <c r="M105" s="26">
        <f>J105/H105</f>
        <v>0.56389068240264506</v>
      </c>
      <c r="N105" s="27">
        <f t="shared" si="7"/>
        <v>-949.67165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1600</v>
      </c>
      <c r="J106" s="44">
        <f>224.84751+1003.08084</f>
        <v>1227.9283499999999</v>
      </c>
      <c r="K106" s="45">
        <f>J106/I106</f>
        <v>0.76745521874999989</v>
      </c>
      <c r="L106" s="44">
        <f t="shared" si="6"/>
        <v>-372.07165000000009</v>
      </c>
      <c r="M106" s="45">
        <f>J106/H106</f>
        <v>0.56389068240264506</v>
      </c>
      <c r="N106" s="46">
        <f t="shared" si="7"/>
        <v>-949.67165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3075.3</v>
      </c>
      <c r="I107" s="51">
        <f>I108+I109+I110+I111</f>
        <v>1995.4</v>
      </c>
      <c r="J107" s="51">
        <f>J108+J109+J110+J111</f>
        <v>2011.9818599999999</v>
      </c>
      <c r="K107" s="26">
        <f>J107/I107</f>
        <v>1.0083100430991279</v>
      </c>
      <c r="L107" s="38">
        <f t="shared" si="6"/>
        <v>16.581859999999779</v>
      </c>
      <c r="M107" s="26">
        <f>J107/H107</f>
        <v>0.65423921568627441</v>
      </c>
      <c r="N107" s="27">
        <f t="shared" si="7"/>
        <v>-1063.3181400000003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407.5</v>
      </c>
      <c r="J108" s="44">
        <v>361.11516999999998</v>
      </c>
      <c r="K108" s="45">
        <f>J108/I108</f>
        <v>0.88617219631901833</v>
      </c>
      <c r="L108" s="44">
        <f t="shared" si="6"/>
        <v>-46.384830000000022</v>
      </c>
      <c r="M108" s="45">
        <f>J108/H108</f>
        <v>0.48799347297297296</v>
      </c>
      <c r="N108" s="46">
        <f t="shared" si="7"/>
        <v>-378.88483000000002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234</v>
      </c>
      <c r="J109" s="44">
        <v>217.80889999999999</v>
      </c>
      <c r="K109" s="45">
        <f>J109/I109</f>
        <v>0.93080726495726496</v>
      </c>
      <c r="L109" s="44">
        <f t="shared" si="6"/>
        <v>-16.191100000000006</v>
      </c>
      <c r="M109" s="45">
        <f>J109/H109</f>
        <v>0.558484358974359</v>
      </c>
      <c r="N109" s="46">
        <f t="shared" si="7"/>
        <v>-172.19110000000001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1945.3</v>
      </c>
      <c r="I111" s="43">
        <v>1353.9</v>
      </c>
      <c r="J111" s="44">
        <v>1432.80279</v>
      </c>
      <c r="K111" s="45">
        <f>J111/I111</f>
        <v>1.0582781520053179</v>
      </c>
      <c r="L111" s="44">
        <f t="shared" si="6"/>
        <v>78.902789999999868</v>
      </c>
      <c r="M111" s="45">
        <f>J111/H111</f>
        <v>0.73654592607823988</v>
      </c>
      <c r="N111" s="46">
        <f t="shared" si="7"/>
        <v>-512.49721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>G114+G113</f>
        <v>183</v>
      </c>
      <c r="H112" s="51">
        <f>H114+H113</f>
        <v>655.9</v>
      </c>
      <c r="I112" s="51">
        <f>I114+I113</f>
        <v>331</v>
      </c>
      <c r="J112" s="51">
        <f>J114+J113</f>
        <v>561.94053999999994</v>
      </c>
      <c r="K112" s="26">
        <f>J112/I112</f>
        <v>1.6977055589123866</v>
      </c>
      <c r="L112" s="38">
        <f t="shared" si="6"/>
        <v>230.94053999999994</v>
      </c>
      <c r="M112" s="26">
        <f>J112/H112</f>
        <v>0.85674727854855914</v>
      </c>
      <c r="N112" s="27">
        <f t="shared" si="7"/>
        <v>-93.959460000000036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>G115</f>
        <v>183</v>
      </c>
      <c r="H114" s="44">
        <f>H115</f>
        <v>655.9</v>
      </c>
      <c r="I114" s="44">
        <f>I115</f>
        <v>331</v>
      </c>
      <c r="J114" s="44">
        <f>J115</f>
        <v>557.94791999999995</v>
      </c>
      <c r="K114" s="45">
        <f t="shared" ref="K114:K120" si="9">J114/I114</f>
        <v>1.685643262839879</v>
      </c>
      <c r="L114" s="44">
        <f t="shared" si="6"/>
        <v>226.94791999999995</v>
      </c>
      <c r="M114" s="45">
        <f t="shared" ref="M114:M120" si="10">J114/H114</f>
        <v>0.85066003964018899</v>
      </c>
      <c r="N114" s="46">
        <f t="shared" si="7"/>
        <v>-97.952080000000024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655.9</v>
      </c>
      <c r="I115" s="61">
        <v>331</v>
      </c>
      <c r="J115" s="62">
        <v>557.94791999999995</v>
      </c>
      <c r="K115" s="45">
        <f t="shared" si="9"/>
        <v>1.685643262839879</v>
      </c>
      <c r="L115" s="44">
        <f t="shared" si="6"/>
        <v>226.94791999999995</v>
      </c>
      <c r="M115" s="45">
        <f t="shared" si="10"/>
        <v>0.85066003964018899</v>
      </c>
      <c r="N115" s="46">
        <f t="shared" si="7"/>
        <v>-97.952080000000024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>G117</f>
        <v>16.899999999999999</v>
      </c>
      <c r="H116" s="38">
        <f>H117</f>
        <v>562.6</v>
      </c>
      <c r="I116" s="38">
        <f>I117</f>
        <v>146.5</v>
      </c>
      <c r="J116" s="38">
        <f>J117</f>
        <v>553.24761999999998</v>
      </c>
      <c r="K116" s="26">
        <f t="shared" si="9"/>
        <v>3.7764342662116039</v>
      </c>
      <c r="L116" s="38">
        <f t="shared" si="6"/>
        <v>406.74761999999998</v>
      </c>
      <c r="M116" s="26">
        <f t="shared" si="10"/>
        <v>0.98337650195520787</v>
      </c>
      <c r="N116" s="27">
        <f t="shared" si="7"/>
        <v>-9.3523800000000392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>G118</f>
        <v>16.899999999999999</v>
      </c>
      <c r="H117" s="65">
        <f>H118</f>
        <v>562.6</v>
      </c>
      <c r="I117" s="65">
        <f>I118</f>
        <v>146.5</v>
      </c>
      <c r="J117" s="65">
        <f>J118+J121</f>
        <v>553.24761999999998</v>
      </c>
      <c r="K117" s="45">
        <f t="shared" si="9"/>
        <v>3.7764342662116039</v>
      </c>
      <c r="L117" s="44">
        <f t="shared" si="6"/>
        <v>406.74761999999998</v>
      </c>
      <c r="M117" s="45">
        <f t="shared" si="10"/>
        <v>0.98337650195520787</v>
      </c>
      <c r="N117" s="46">
        <f t="shared" si="7"/>
        <v>-9.3523800000000392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562.6</v>
      </c>
      <c r="I118" s="43">
        <v>146.5</v>
      </c>
      <c r="J118" s="44">
        <v>553.24761999999998</v>
      </c>
      <c r="K118" s="45">
        <f t="shared" si="9"/>
        <v>3.7764342662116039</v>
      </c>
      <c r="L118" s="44">
        <f t="shared" si="6"/>
        <v>406.74761999999998</v>
      </c>
      <c r="M118" s="45">
        <f t="shared" si="10"/>
        <v>0.98337650195520787</v>
      </c>
      <c r="N118" s="46">
        <f t="shared" si="7"/>
        <v>-9.3523800000000392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6"/>
        <v>0</v>
      </c>
      <c r="M121" s="82">
        <v>0</v>
      </c>
      <c r="N121" s="83">
        <f t="shared" si="7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2252735.5700000003</v>
      </c>
      <c r="I122" s="88">
        <f>I5+I83+I116</f>
        <v>1580676.17</v>
      </c>
      <c r="J122" s="88">
        <f>J5+J83+J116</f>
        <v>1869817.7777000004</v>
      </c>
      <c r="K122" s="89">
        <f>J122/I122</f>
        <v>1.1829227347053639</v>
      </c>
      <c r="L122" s="90">
        <f t="shared" si="6"/>
        <v>289141.60770000052</v>
      </c>
      <c r="M122" s="89">
        <f>J122/H122</f>
        <v>0.8300209765409795</v>
      </c>
      <c r="N122" s="91">
        <f t="shared" si="7"/>
        <v>-382917.79229999986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05 09 16</vt:lpstr>
      <vt:lpstr>'05 09 16'!Заголовки_для_печати</vt:lpstr>
      <vt:lpstr>'05 09 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2016-09-08T07:34:48Z</dcterms:created>
  <dcterms:modified xsi:type="dcterms:W3CDTF">2016-09-08T13:07:41Z</dcterms:modified>
</cp:coreProperties>
</file>