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65" windowHeight="8715"/>
  </bookViews>
  <sheets>
    <sheet name="12 08 16" sheetId="1" r:id="rId1"/>
  </sheets>
  <externalReferences>
    <externalReference r:id="rId2"/>
  </externalReferences>
  <definedNames>
    <definedName name="_xlnm.Print_Titles" localSheetId="0">'12 08 16'!$A:$E</definedName>
    <definedName name="_xlnm.Print_Area" localSheetId="0">'12 08 16'!$D$1:$N$123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L117" i="1"/>
  <c r="J117" i="1"/>
  <c r="K117" i="1" s="1"/>
  <c r="I117" i="1"/>
  <c r="H117" i="1"/>
  <c r="M117" i="1" s="1"/>
  <c r="G117" i="1"/>
  <c r="J116" i="1"/>
  <c r="I116" i="1"/>
  <c r="L116" i="1" s="1"/>
  <c r="H116" i="1"/>
  <c r="M116" i="1" s="1"/>
  <c r="G116" i="1"/>
  <c r="N115" i="1"/>
  <c r="M115" i="1"/>
  <c r="L115" i="1"/>
  <c r="K115" i="1"/>
  <c r="L114" i="1"/>
  <c r="J114" i="1"/>
  <c r="K114" i="1" s="1"/>
  <c r="I114" i="1"/>
  <c r="I112" i="1" s="1"/>
  <c r="H114" i="1"/>
  <c r="H112" i="1" s="1"/>
  <c r="G114" i="1"/>
  <c r="N113" i="1"/>
  <c r="L113" i="1"/>
  <c r="J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L107" i="1" s="1"/>
  <c r="H107" i="1"/>
  <c r="M107" i="1" s="1"/>
  <c r="G107" i="1"/>
  <c r="M106" i="1"/>
  <c r="L106" i="1"/>
  <c r="J106" i="1"/>
  <c r="K106" i="1" s="1"/>
  <c r="J105" i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L92" i="1"/>
  <c r="J92" i="1"/>
  <c r="K92" i="1" s="1"/>
  <c r="I92" i="1"/>
  <c r="H92" i="1"/>
  <c r="G92" i="1"/>
  <c r="F92" i="1"/>
  <c r="J91" i="1"/>
  <c r="I91" i="1"/>
  <c r="I83" i="1" s="1"/>
  <c r="G91" i="1"/>
  <c r="N90" i="1"/>
  <c r="M90" i="1"/>
  <c r="L90" i="1"/>
  <c r="K90" i="1"/>
  <c r="N89" i="1"/>
  <c r="M89" i="1"/>
  <c r="L89" i="1"/>
  <c r="K89" i="1"/>
  <c r="J88" i="1"/>
  <c r="I88" i="1"/>
  <c r="H88" i="1"/>
  <c r="G88" i="1"/>
  <c r="G84" i="1" s="1"/>
  <c r="G83" i="1" s="1"/>
  <c r="F88" i="1"/>
  <c r="N87" i="1"/>
  <c r="L87" i="1"/>
  <c r="N86" i="1"/>
  <c r="M86" i="1"/>
  <c r="L86" i="1"/>
  <c r="K86" i="1"/>
  <c r="L85" i="1"/>
  <c r="J85" i="1"/>
  <c r="I85" i="1"/>
  <c r="H85" i="1"/>
  <c r="M85" i="1" s="1"/>
  <c r="G85" i="1"/>
  <c r="I84" i="1"/>
  <c r="H84" i="1"/>
  <c r="N82" i="1"/>
  <c r="L82" i="1"/>
  <c r="N81" i="1"/>
  <c r="L81" i="1"/>
  <c r="N80" i="1"/>
  <c r="L80" i="1"/>
  <c r="N79" i="1"/>
  <c r="L79" i="1"/>
  <c r="J78" i="1"/>
  <c r="I78" i="1"/>
  <c r="H78" i="1"/>
  <c r="G78" i="1"/>
  <c r="G77" i="1" s="1"/>
  <c r="I77" i="1"/>
  <c r="H77" i="1"/>
  <c r="N76" i="1"/>
  <c r="L76" i="1"/>
  <c r="N75" i="1"/>
  <c r="M75" i="1"/>
  <c r="L75" i="1"/>
  <c r="K75" i="1"/>
  <c r="N74" i="1"/>
  <c r="M74" i="1"/>
  <c r="L74" i="1"/>
  <c r="K74" i="1"/>
  <c r="N73" i="1"/>
  <c r="L73" i="1"/>
  <c r="J72" i="1"/>
  <c r="I72" i="1"/>
  <c r="L72" i="1" s="1"/>
  <c r="H72" i="1"/>
  <c r="M72" i="1" s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I61" i="1"/>
  <c r="H61" i="1"/>
  <c r="G61" i="1"/>
  <c r="G43" i="1" s="1"/>
  <c r="N60" i="1"/>
  <c r="L60" i="1"/>
  <c r="N59" i="1"/>
  <c r="M59" i="1"/>
  <c r="L59" i="1"/>
  <c r="K59" i="1"/>
  <c r="L58" i="1"/>
  <c r="J58" i="1"/>
  <c r="K58" i="1" s="1"/>
  <c r="I58" i="1"/>
  <c r="H58" i="1"/>
  <c r="M58" i="1" s="1"/>
  <c r="G58" i="1"/>
  <c r="N57" i="1"/>
  <c r="L57" i="1"/>
  <c r="N56" i="1"/>
  <c r="M56" i="1"/>
  <c r="L56" i="1"/>
  <c r="K56" i="1"/>
  <c r="J55" i="1"/>
  <c r="I55" i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L44" i="1"/>
  <c r="J44" i="1"/>
  <c r="K44" i="1" s="1"/>
  <c r="I44" i="1"/>
  <c r="H44" i="1"/>
  <c r="M44" i="1" s="1"/>
  <c r="G44" i="1"/>
  <c r="H43" i="1"/>
  <c r="N42" i="1"/>
  <c r="L42" i="1"/>
  <c r="N41" i="1"/>
  <c r="J41" i="1"/>
  <c r="L41" i="1" s="1"/>
  <c r="N40" i="1"/>
  <c r="L40" i="1"/>
  <c r="J40" i="1"/>
  <c r="N39" i="1"/>
  <c r="M39" i="1"/>
  <c r="L39" i="1"/>
  <c r="K39" i="1"/>
  <c r="L38" i="1"/>
  <c r="J38" i="1"/>
  <c r="I38" i="1"/>
  <c r="H38" i="1"/>
  <c r="M38" i="1" s="1"/>
  <c r="G38" i="1"/>
  <c r="N37" i="1"/>
  <c r="M37" i="1"/>
  <c r="L37" i="1"/>
  <c r="J36" i="1"/>
  <c r="I36" i="1"/>
  <c r="H36" i="1"/>
  <c r="M36" i="1" s="1"/>
  <c r="G36" i="1"/>
  <c r="N35" i="1"/>
  <c r="M35" i="1"/>
  <c r="L35" i="1"/>
  <c r="K35" i="1"/>
  <c r="N34" i="1"/>
  <c r="L34" i="1"/>
  <c r="K34" i="1"/>
  <c r="J34" i="1"/>
  <c r="I33" i="1"/>
  <c r="H33" i="1"/>
  <c r="G33" i="1"/>
  <c r="L32" i="1"/>
  <c r="J32" i="1"/>
  <c r="N32" i="1" s="1"/>
  <c r="J31" i="1"/>
  <c r="L31" i="1" s="1"/>
  <c r="N30" i="1"/>
  <c r="L30" i="1"/>
  <c r="N29" i="1"/>
  <c r="L29" i="1"/>
  <c r="N28" i="1"/>
  <c r="J28" i="1"/>
  <c r="L28" i="1" s="1"/>
  <c r="N27" i="1"/>
  <c r="J27" i="1"/>
  <c r="M27" i="1" s="1"/>
  <c r="I27" i="1"/>
  <c r="H27" i="1"/>
  <c r="G27" i="1"/>
  <c r="G24" i="1" s="1"/>
  <c r="N26" i="1"/>
  <c r="L26" i="1"/>
  <c r="J25" i="1"/>
  <c r="I24" i="1"/>
  <c r="H24" i="1"/>
  <c r="M23" i="1"/>
  <c r="L23" i="1"/>
  <c r="K23" i="1"/>
  <c r="J23" i="1"/>
  <c r="N23" i="1" s="1"/>
  <c r="J22" i="1"/>
  <c r="N22" i="1" s="1"/>
  <c r="M21" i="1"/>
  <c r="L21" i="1"/>
  <c r="K21" i="1"/>
  <c r="J21" i="1"/>
  <c r="N21" i="1" s="1"/>
  <c r="J20" i="1"/>
  <c r="K20" i="1" s="1"/>
  <c r="J19" i="1"/>
  <c r="L19" i="1" s="1"/>
  <c r="J18" i="1"/>
  <c r="M18" i="1" s="1"/>
  <c r="M17" i="1"/>
  <c r="L17" i="1"/>
  <c r="K17" i="1"/>
  <c r="J17" i="1"/>
  <c r="N17" i="1" s="1"/>
  <c r="J16" i="1"/>
  <c r="N15" i="1"/>
  <c r="L15" i="1"/>
  <c r="N14" i="1"/>
  <c r="M14" i="1"/>
  <c r="L14" i="1"/>
  <c r="K14" i="1"/>
  <c r="I13" i="1"/>
  <c r="H13" i="1"/>
  <c r="G13" i="1"/>
  <c r="M12" i="1"/>
  <c r="L12" i="1"/>
  <c r="K12" i="1"/>
  <c r="J12" i="1"/>
  <c r="N12" i="1" s="1"/>
  <c r="J11" i="1"/>
  <c r="K11" i="1" s="1"/>
  <c r="N10" i="1"/>
  <c r="L10" i="1"/>
  <c r="M9" i="1"/>
  <c r="L9" i="1"/>
  <c r="K9" i="1"/>
  <c r="J9" i="1"/>
  <c r="N9" i="1" s="1"/>
  <c r="N8" i="1"/>
  <c r="M8" i="1"/>
  <c r="J8" i="1"/>
  <c r="K8" i="1" s="1"/>
  <c r="I7" i="1"/>
  <c r="I6" i="1" s="1"/>
  <c r="H7" i="1"/>
  <c r="G7" i="1"/>
  <c r="F7" i="1"/>
  <c r="H6" i="1"/>
  <c r="H5" i="1" s="1"/>
  <c r="G6" i="1"/>
  <c r="G5" i="1" s="1"/>
  <c r="G122" i="1" s="1"/>
  <c r="H122" i="1" l="1"/>
  <c r="K16" i="1"/>
  <c r="J13" i="1"/>
  <c r="M55" i="1"/>
  <c r="L55" i="1"/>
  <c r="N61" i="1"/>
  <c r="J43" i="1"/>
  <c r="L88" i="1"/>
  <c r="K88" i="1"/>
  <c r="J84" i="1"/>
  <c r="M112" i="1"/>
  <c r="L112" i="1"/>
  <c r="L11" i="1"/>
  <c r="L16" i="1"/>
  <c r="K18" i="1"/>
  <c r="K19" i="1"/>
  <c r="L20" i="1"/>
  <c r="L22" i="1"/>
  <c r="K55" i="1"/>
  <c r="L61" i="1"/>
  <c r="K72" i="1"/>
  <c r="M88" i="1"/>
  <c r="L91" i="1"/>
  <c r="K91" i="1"/>
  <c r="L105" i="1"/>
  <c r="K105" i="1"/>
  <c r="K112" i="1"/>
  <c r="J7" i="1"/>
  <c r="M11" i="1"/>
  <c r="M16" i="1"/>
  <c r="L18" i="1"/>
  <c r="M19" i="1"/>
  <c r="M20" i="1"/>
  <c r="L25" i="1"/>
  <c r="K27" i="1"/>
  <c r="K28" i="1"/>
  <c r="N31" i="1"/>
  <c r="N36" i="1"/>
  <c r="I43" i="1"/>
  <c r="I5" i="1" s="1"/>
  <c r="I122" i="1" s="1"/>
  <c r="N55" i="1"/>
  <c r="N78" i="1"/>
  <c r="J77" i="1"/>
  <c r="N88" i="1"/>
  <c r="H91" i="1"/>
  <c r="H83" i="1" s="1"/>
  <c r="M92" i="1"/>
  <c r="M105" i="1"/>
  <c r="K107" i="1"/>
  <c r="N112" i="1"/>
  <c r="M114" i="1"/>
  <c r="K116" i="1"/>
  <c r="L8" i="1"/>
  <c r="N11" i="1"/>
  <c r="N16" i="1"/>
  <c r="N18" i="1"/>
  <c r="N19" i="1"/>
  <c r="N20" i="1"/>
  <c r="N25" i="1"/>
  <c r="L27" i="1"/>
  <c r="M28" i="1"/>
  <c r="M34" i="1"/>
  <c r="J33" i="1"/>
  <c r="L36" i="1"/>
  <c r="K38" i="1"/>
  <c r="N38" i="1"/>
  <c r="L78" i="1"/>
  <c r="K85" i="1"/>
  <c r="N105" i="1"/>
  <c r="N44" i="1"/>
  <c r="N58" i="1"/>
  <c r="N72" i="1"/>
  <c r="N85" i="1"/>
  <c r="N92" i="1"/>
  <c r="N106" i="1"/>
  <c r="N107" i="1"/>
  <c r="N114" i="1"/>
  <c r="N116" i="1"/>
  <c r="N117" i="1"/>
  <c r="N33" i="1" l="1"/>
  <c r="M33" i="1"/>
  <c r="L33" i="1"/>
  <c r="K33" i="1"/>
  <c r="L77" i="1"/>
  <c r="N77" i="1"/>
  <c r="J24" i="1"/>
  <c r="K43" i="1"/>
  <c r="N43" i="1"/>
  <c r="L43" i="1"/>
  <c r="M43" i="1"/>
  <c r="N13" i="1"/>
  <c r="K13" i="1"/>
  <c r="M13" i="1"/>
  <c r="L13" i="1"/>
  <c r="N91" i="1"/>
  <c r="M91" i="1"/>
  <c r="L7" i="1"/>
  <c r="K7" i="1"/>
  <c r="J6" i="1"/>
  <c r="N7" i="1"/>
  <c r="M7" i="1"/>
  <c r="K84" i="1"/>
  <c r="N84" i="1"/>
  <c r="J83" i="1"/>
  <c r="M84" i="1"/>
  <c r="L84" i="1"/>
  <c r="K83" i="1" l="1"/>
  <c r="N83" i="1"/>
  <c r="M83" i="1"/>
  <c r="L83" i="1"/>
  <c r="M6" i="1"/>
  <c r="K6" i="1"/>
  <c r="N6" i="1"/>
  <c r="L6" i="1"/>
  <c r="J5" i="1"/>
  <c r="N24" i="1"/>
  <c r="L24" i="1"/>
  <c r="K24" i="1"/>
  <c r="M24" i="1"/>
  <c r="M5" i="1" l="1"/>
  <c r="N5" i="1"/>
  <c r="J122" i="1"/>
  <c r="L5" i="1"/>
  <c r="K5" i="1"/>
  <c r="M122" i="1" l="1"/>
  <c r="L122" i="1"/>
  <c r="K122" i="1"/>
  <c r="N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<sst xmlns="http://schemas.openxmlformats.org/spreadsheetml/2006/main" count="133" uniqueCount="131">
  <si>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15.08.2016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</si>
  <si>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</si>
  <si>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</si>
  <si>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</si>
  <si>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</si>
  <si>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</si>
  <si>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</si>
  <si>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</si>
  <si>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</si>
  <si>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січень-серпень 2016 року з урах.змін</t>
  </si>
  <si>
    <t>ФАКТ</t>
  </si>
  <si>
    <t xml:space="preserve"> % виконання до плану січня-серпня п.р.</t>
  </si>
  <si>
    <t>Відхилення факту від плану січня-серпня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</si>
  <si>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</si>
  <si>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</si>
  <si>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15.08.2016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</si>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</sst>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J118" sqref="J118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2215433.2000000002</v>
      </c>
      <c r="I5" s="23">
        <f>I6+I24+I38+I40+I43+I77</f>
        <v>1407825.2</v>
      </c>
      <c r="J5" s="23">
        <f>J6+J24+J38+J40+J43+J77</f>
        <v>1656216.1241299999</v>
      </c>
      <c r="K5" s="24">
        <f>J5/I5</f>
        <v>1.1764359127326318</v>
      </c>
      <c r="L5" s="25">
        <f t="shared" ref="L5:L68" si="0">J5-I5</f>
        <v>248390.92412999994</v>
      </c>
      <c r="M5" s="26">
        <f>J5/H5</f>
        <v>0.74758116116071549</v>
      </c>
      <c r="N5" s="27">
        <f t="shared" ref="N5:N68" si="1">J5-H5</f>
        <v>-559217.07587000029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1277792.1000000001</v>
      </c>
      <c r="I6" s="31">
        <f>I7+I13</f>
        <v>809787.6</v>
      </c>
      <c r="J6" s="31">
        <f>J7+J13</f>
        <v>887045.56242999993</v>
      </c>
      <c r="K6" s="32">
        <f>J6/I6</f>
        <v>1.0954052178991132</v>
      </c>
      <c r="L6" s="31">
        <f t="shared" si="0"/>
        <v>77257.962429999956</v>
      </c>
      <c r="M6" s="26">
        <f>J6/H6</f>
        <v>0.69420178950081146</v>
      </c>
      <c r="N6" s="27">
        <f t="shared" si="1"/>
        <v>-390746.53757000016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666866.6</v>
      </c>
      <c r="J7" s="38">
        <f>J8+J9+J11+J12+J10</f>
        <v>669735.47008999996</v>
      </c>
      <c r="K7" s="39">
        <f>J7/I7</f>
        <v>1.0043020149607134</v>
      </c>
      <c r="L7" s="40">
        <f t="shared" si="0"/>
        <v>2868.8700899999822</v>
      </c>
      <c r="M7" s="26">
        <f>J7/H7</f>
        <v>0.65853484601503776</v>
      </c>
      <c r="N7" s="27">
        <f t="shared" si="1"/>
        <v>-347272.92991000006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611296.6</v>
      </c>
      <c r="J8" s="44">
        <f>1487235.87979-892341.52802</f>
        <v>594894.35176999995</v>
      </c>
      <c r="K8" s="45">
        <f>J8/I8</f>
        <v>0.97316810165474499</v>
      </c>
      <c r="L8" s="44">
        <f t="shared" si="0"/>
        <v>-16402.248230000027</v>
      </c>
      <c r="M8" s="45">
        <f>J8/H8</f>
        <v>0.64361024066209926</v>
      </c>
      <c r="N8" s="46">
        <f t="shared" si="1"/>
        <v>-329414.04823000007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4560</v>
      </c>
      <c r="J9" s="44">
        <f>13588.20522-8152.92311</f>
        <v>5435.2821100000001</v>
      </c>
      <c r="K9" s="45">
        <f>J9/I9</f>
        <v>1.1919478311403509</v>
      </c>
      <c r="L9" s="44">
        <f t="shared" si="0"/>
        <v>875.2821100000001</v>
      </c>
      <c r="M9" s="45">
        <f>J9/H9</f>
        <v>0.73449758243243246</v>
      </c>
      <c r="N9" s="46">
        <f t="shared" si="1"/>
        <v>-1964.7178899999999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29300</v>
      </c>
      <c r="J11" s="44">
        <f>91225.52964-54735.3178</f>
        <v>36490.211839999996</v>
      </c>
      <c r="K11" s="45">
        <f>J11/I11</f>
        <v>1.2453997215017063</v>
      </c>
      <c r="L11" s="44">
        <f t="shared" si="0"/>
        <v>7190.2118399999963</v>
      </c>
      <c r="M11" s="45">
        <f>J11/H11</f>
        <v>0.69904620383141758</v>
      </c>
      <c r="N11" s="46">
        <f t="shared" si="1"/>
        <v>-15709.788160000004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21710</v>
      </c>
      <c r="J12" s="44">
        <f>82289.06078-49373.43641</f>
        <v>32915.624369999998</v>
      </c>
      <c r="K12" s="45">
        <f>J12/I12</f>
        <v>1.5161503625057575</v>
      </c>
      <c r="L12" s="44">
        <f t="shared" si="0"/>
        <v>11205.624369999998</v>
      </c>
      <c r="M12" s="45">
        <f>J12/H12</f>
        <v>0.9944297392749244</v>
      </c>
      <c r="N12" s="46">
        <f t="shared" si="1"/>
        <v>-184.37563000000227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260783.7</v>
      </c>
      <c r="I13" s="38">
        <f>I14+I15+I16+I17+I18+I19+I20+I21+I22+I23</f>
        <v>142921</v>
      </c>
      <c r="J13" s="38">
        <f>J14+J15+J16+J17+J18+J19+J20+J21+J22+J23</f>
        <v>217310.09234</v>
      </c>
      <c r="K13" s="26">
        <f>J13/I13</f>
        <v>1.5204909869088519</v>
      </c>
      <c r="L13" s="38">
        <f t="shared" si="0"/>
        <v>74389.092340000003</v>
      </c>
      <c r="M13" s="26">
        <f>J13/H13</f>
        <v>0.83329630011384914</v>
      </c>
      <c r="N13" s="27">
        <f t="shared" si="1"/>
        <v>-43473.607660000009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617</v>
      </c>
      <c r="J14" s="44">
        <v>920.08076000000005</v>
      </c>
      <c r="K14" s="45">
        <f>J14/I14</f>
        <v>1.491216790923825</v>
      </c>
      <c r="L14" s="44">
        <f t="shared" si="0"/>
        <v>303.08076000000005</v>
      </c>
      <c r="M14" s="45">
        <f>J14/H14</f>
        <v>1.0131932166061006</v>
      </c>
      <c r="N14" s="46">
        <f t="shared" si="1"/>
        <v>11.980760000000032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87.207490000000007</v>
      </c>
      <c r="K15" s="45">
        <v>0</v>
      </c>
      <c r="L15" s="44">
        <f t="shared" si="0"/>
        <v>87.207490000000007</v>
      </c>
      <c r="M15" s="45">
        <v>0</v>
      </c>
      <c r="N15" s="46">
        <f t="shared" si="1"/>
        <v>87.207490000000007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135807</v>
      </c>
      <c r="I16" s="43">
        <v>81250</v>
      </c>
      <c r="J16" s="44">
        <f>1174908.0389-1057417.23499</f>
        <v>117490.80391000002</v>
      </c>
      <c r="K16" s="45">
        <f t="shared" ref="K16:K21" si="2">J16/I16</f>
        <v>1.4460406635076926</v>
      </c>
      <c r="L16" s="44">
        <f t="shared" si="0"/>
        <v>36240.803910000017</v>
      </c>
      <c r="M16" s="45">
        <f t="shared" ref="M16:M21" si="3">J16/H16</f>
        <v>0.8651306921587254</v>
      </c>
      <c r="N16" s="46">
        <f t="shared" si="1"/>
        <v>-18316.196089999983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8080</v>
      </c>
      <c r="J17" s="44">
        <f>92219.10161-82997.19124</f>
        <v>9221.9103699999978</v>
      </c>
      <c r="K17" s="45">
        <f t="shared" si="2"/>
        <v>1.1413255408415839</v>
      </c>
      <c r="L17" s="44">
        <f t="shared" si="0"/>
        <v>1141.9103699999978</v>
      </c>
      <c r="M17" s="45">
        <f t="shared" si="3"/>
        <v>0.68310447185185164</v>
      </c>
      <c r="N17" s="46">
        <f t="shared" si="1"/>
        <v>-4278.0896300000022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53000</v>
      </c>
      <c r="I18" s="43">
        <v>15520</v>
      </c>
      <c r="J18" s="44">
        <f>394352.36737-354917.13063</f>
        <v>39435.236739999964</v>
      </c>
      <c r="K18" s="45">
        <f t="shared" si="2"/>
        <v>2.5409302023195854</v>
      </c>
      <c r="L18" s="44">
        <f t="shared" si="0"/>
        <v>23915.236739999964</v>
      </c>
      <c r="M18" s="45">
        <f t="shared" si="3"/>
        <v>0.7440610705660371</v>
      </c>
      <c r="N18" s="46">
        <f t="shared" si="1"/>
        <v>-13564.763260000036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12700</v>
      </c>
      <c r="I19" s="43">
        <v>5020</v>
      </c>
      <c r="J19" s="44">
        <f>54348.6015-48913.74133</f>
        <v>5434.8601699999999</v>
      </c>
      <c r="K19" s="45">
        <f t="shared" si="2"/>
        <v>1.0826414681274901</v>
      </c>
      <c r="L19" s="44">
        <f t="shared" si="0"/>
        <v>414.86016999999993</v>
      </c>
      <c r="M19" s="45">
        <f t="shared" si="3"/>
        <v>0.42794174566929133</v>
      </c>
      <c r="N19" s="46">
        <f t="shared" si="1"/>
        <v>-7265.1398300000001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48</v>
      </c>
      <c r="J20" s="44">
        <f>173.63521-156.27169</f>
        <v>17.363519999999994</v>
      </c>
      <c r="K20" s="45">
        <f t="shared" si="2"/>
        <v>0.36173999999999989</v>
      </c>
      <c r="L20" s="44">
        <f t="shared" si="0"/>
        <v>-30.636480000000006</v>
      </c>
      <c r="M20" s="45">
        <f t="shared" si="3"/>
        <v>0.2102121065375302</v>
      </c>
      <c r="N20" s="46">
        <f t="shared" si="1"/>
        <v>-65.23648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44680</v>
      </c>
      <c r="I21" s="43">
        <v>32320</v>
      </c>
      <c r="J21" s="44">
        <f>425537.47512-382983.7275</f>
        <v>42553.747620000038</v>
      </c>
      <c r="K21" s="45">
        <f t="shared" si="2"/>
        <v>1.316638230816833</v>
      </c>
      <c r="L21" s="44">
        <f t="shared" si="0"/>
        <v>10233.747620000038</v>
      </c>
      <c r="M21" s="45">
        <f t="shared" si="3"/>
        <v>0.95241154028648245</v>
      </c>
      <c r="N21" s="46">
        <f t="shared" si="1"/>
        <v>-2126.2523799999617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13.822-12.4398</f>
        <v>1.3821999999999992</v>
      </c>
      <c r="K22" s="45">
        <v>0</v>
      </c>
      <c r="L22" s="44">
        <f t="shared" si="0"/>
        <v>1.3821999999999992</v>
      </c>
      <c r="M22" s="45">
        <v>0</v>
      </c>
      <c r="N22" s="46">
        <f t="shared" si="1"/>
        <v>1.3821999999999992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66</v>
      </c>
      <c r="J23" s="44">
        <f>21474.99562-19327.49606</f>
        <v>2147.4995600000002</v>
      </c>
      <c r="K23" s="45">
        <f>J23/I23</f>
        <v>32.537872121212125</v>
      </c>
      <c r="L23" s="44">
        <f t="shared" si="0"/>
        <v>2081.4995600000002</v>
      </c>
      <c r="M23" s="45">
        <f>J23/H23</f>
        <v>20.259429811320757</v>
      </c>
      <c r="N23" s="46">
        <f t="shared" si="1"/>
        <v>2041.4995600000002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8052.5</v>
      </c>
      <c r="J24" s="38">
        <f>J25+J27+J33+J36</f>
        <v>7360.1279799999984</v>
      </c>
      <c r="K24" s="26">
        <f>J24/I24</f>
        <v>0.91401775597640467</v>
      </c>
      <c r="L24" s="38">
        <f t="shared" si="0"/>
        <v>-692.37202000000161</v>
      </c>
      <c r="M24" s="26">
        <f>J24/H24</f>
        <v>0.51728430322453678</v>
      </c>
      <c r="N24" s="27">
        <f t="shared" si="1"/>
        <v>-6868.2720200000012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0"/>
        <v>44.890160000000002</v>
      </c>
      <c r="M25" s="45">
        <v>0</v>
      </c>
      <c r="N25" s="27">
        <f t="shared" si="1"/>
        <v>44.890160000000002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0"/>
        <v>44.890160000000002</v>
      </c>
      <c r="M26" s="45">
        <v>0</v>
      </c>
      <c r="N26" s="46">
        <f t="shared" si="1"/>
        <v>44.890160000000002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7780</v>
      </c>
      <c r="J27" s="51">
        <f>J28+J29+J31+J32+J30</f>
        <v>6412.2741299999989</v>
      </c>
      <c r="K27" s="26">
        <f>J27/I27</f>
        <v>0.82419975964010272</v>
      </c>
      <c r="L27" s="38">
        <f t="shared" si="0"/>
        <v>-1367.7258700000011</v>
      </c>
      <c r="M27" s="26">
        <f>J27/H27</f>
        <v>0.46533193976777931</v>
      </c>
      <c r="N27" s="27">
        <f t="shared" si="1"/>
        <v>-7367.7258700000011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7780</v>
      </c>
      <c r="J28" s="44">
        <f>12805.98476-6402.99248</f>
        <v>6402.9922799999995</v>
      </c>
      <c r="K28" s="45">
        <f>J28/I28</f>
        <v>0.82300671979434437</v>
      </c>
      <c r="L28" s="44">
        <f t="shared" si="0"/>
        <v>-1377.0077200000005</v>
      </c>
      <c r="M28" s="45">
        <f>J28/H28</f>
        <v>0.46465836574746006</v>
      </c>
      <c r="N28" s="46">
        <f t="shared" si="1"/>
        <v>-7377.0077200000005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1.6527700000000001</v>
      </c>
      <c r="K29" s="45">
        <v>0</v>
      </c>
      <c r="L29" s="44">
        <f t="shared" si="0"/>
        <v>1.6527700000000001</v>
      </c>
      <c r="M29" s="45">
        <v>0</v>
      </c>
      <c r="N29" s="46">
        <f t="shared" si="1"/>
        <v>1.6527700000000001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0.43384-0.21693</f>
        <v>0.21690999999999999</v>
      </c>
      <c r="K31" s="45">
        <v>0</v>
      </c>
      <c r="L31" s="44">
        <f t="shared" si="0"/>
        <v>0.21690999999999999</v>
      </c>
      <c r="M31" s="45">
        <v>0</v>
      </c>
      <c r="N31" s="46">
        <f t="shared" si="1"/>
        <v>0.21690999999999999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0"/>
        <v>7.4121699999999997</v>
      </c>
      <c r="M32" s="45">
        <v>0</v>
      </c>
      <c r="N32" s="46">
        <f t="shared" si="1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272.10000000000002</v>
      </c>
      <c r="J33" s="38">
        <f>J35+J34</f>
        <v>902.13481000000002</v>
      </c>
      <c r="K33" s="26">
        <f>J33/I33</f>
        <v>3.3154531789783164</v>
      </c>
      <c r="L33" s="38">
        <f t="shared" si="0"/>
        <v>630.03480999999999</v>
      </c>
      <c r="M33" s="26">
        <f t="shared" ref="M33:M39" si="4">J33/H33</f>
        <v>2.018650279704632</v>
      </c>
      <c r="N33" s="27">
        <f t="shared" si="1"/>
        <v>455.23481000000004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70.099999999999994</v>
      </c>
      <c r="J34" s="44">
        <f>256.75148-192.56348</f>
        <v>64.188000000000017</v>
      </c>
      <c r="K34" s="45">
        <f>J34/I34</f>
        <v>0.91566333808844536</v>
      </c>
      <c r="L34" s="44">
        <f t="shared" si="0"/>
        <v>-5.9119999999999777</v>
      </c>
      <c r="M34" s="45">
        <f t="shared" si="4"/>
        <v>0.63552475247524765</v>
      </c>
      <c r="N34" s="46">
        <f t="shared" si="1"/>
        <v>-36.811999999999983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837.94681000000003</v>
      </c>
      <c r="K35" s="45">
        <f>J35/I35</f>
        <v>4.1482515346534656</v>
      </c>
      <c r="L35" s="44">
        <f t="shared" si="0"/>
        <v>635.94681000000003</v>
      </c>
      <c r="M35" s="45">
        <f t="shared" si="4"/>
        <v>2.4225117374963863</v>
      </c>
      <c r="N35" s="46">
        <f t="shared" si="1"/>
        <v>492.04681000000005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0.4</v>
      </c>
      <c r="J36" s="51">
        <f>J37</f>
        <v>0.82887999999999995</v>
      </c>
      <c r="K36" s="26">
        <v>0</v>
      </c>
      <c r="L36" s="38">
        <f t="shared" si="0"/>
        <v>0.42887999999999993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0.4</v>
      </c>
      <c r="J37" s="44">
        <v>0.82887999999999995</v>
      </c>
      <c r="K37" s="45">
        <v>0</v>
      </c>
      <c r="L37" s="44">
        <f t="shared" si="0"/>
        <v>0.42887999999999993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141314</v>
      </c>
      <c r="I38" s="38">
        <f>I39</f>
        <v>99327.5</v>
      </c>
      <c r="J38" s="38">
        <f>J39</f>
        <v>105164.54025000001</v>
      </c>
      <c r="K38" s="26">
        <f>J38/I38</f>
        <v>1.0587656011678539</v>
      </c>
      <c r="L38" s="38">
        <f t="shared" si="0"/>
        <v>5837.0402500000055</v>
      </c>
      <c r="M38" s="26">
        <f t="shared" si="4"/>
        <v>0.74419052783163742</v>
      </c>
      <c r="N38" s="27">
        <f t="shared" si="1"/>
        <v>-36149.459749999995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141314</v>
      </c>
      <c r="I39" s="43">
        <v>99327.5</v>
      </c>
      <c r="J39" s="44">
        <v>105164.54025000001</v>
      </c>
      <c r="K39" s="45">
        <f>J39/I39</f>
        <v>1.0587656011678539</v>
      </c>
      <c r="L39" s="44">
        <f t="shared" si="0"/>
        <v>5837.0402500000055</v>
      </c>
      <c r="M39" s="45">
        <f t="shared" si="4"/>
        <v>0.74419052783163742</v>
      </c>
      <c r="N39" s="46">
        <f t="shared" si="1"/>
        <v>-36149.459749999995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782098.7</v>
      </c>
      <c r="I43" s="38">
        <f>I44+I56+I58+I61+I72</f>
        <v>490657.6</v>
      </c>
      <c r="J43" s="38">
        <f>J44+J56+J58+J61+J72</f>
        <v>656645.86670999997</v>
      </c>
      <c r="K43" s="26">
        <f>J43/I43</f>
        <v>1.338297555586625</v>
      </c>
      <c r="L43" s="38">
        <f t="shared" si="0"/>
        <v>165988.26671</v>
      </c>
      <c r="M43" s="26">
        <f t="shared" ref="M43:M56" si="5">J43/H43</f>
        <v>0.83959462751951897</v>
      </c>
      <c r="N43" s="27">
        <f t="shared" si="1"/>
        <v>-125452.83328999998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565829.89999999991</v>
      </c>
      <c r="I44" s="38">
        <f>I45+I46+I47+I48+I49+I50+I51+I52+I54+I53</f>
        <v>344541.3</v>
      </c>
      <c r="J44" s="38">
        <f>J45+J46+J47+J48+J49+J50+J51+J52+J54+J53</f>
        <v>464015.45710000006</v>
      </c>
      <c r="K44" s="26">
        <f>J44/I44</f>
        <v>1.3467629485928103</v>
      </c>
      <c r="L44" s="38">
        <f t="shared" si="0"/>
        <v>119474.15710000007</v>
      </c>
      <c r="M44" s="26">
        <f t="shared" si="5"/>
        <v>0.82006174841591106</v>
      </c>
      <c r="N44" s="27">
        <f t="shared" si="1"/>
        <v>-101814.44289999985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806</v>
      </c>
      <c r="J45" s="44">
        <v>1557.7887900000001</v>
      </c>
      <c r="K45" s="45">
        <f>J45/I45</f>
        <v>1.9327404342431762</v>
      </c>
      <c r="L45" s="44">
        <f t="shared" si="0"/>
        <v>751.78879000000006</v>
      </c>
      <c r="M45" s="45">
        <f t="shared" si="5"/>
        <v>0.95114714250824284</v>
      </c>
      <c r="N45" s="46">
        <f t="shared" si="1"/>
        <v>-80.011209999999892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743</v>
      </c>
      <c r="J46" s="44">
        <v>580.36163999999997</v>
      </c>
      <c r="K46" s="45">
        <f>J46/I46</f>
        <v>0.78110584118438753</v>
      </c>
      <c r="L46" s="44">
        <f t="shared" si="0"/>
        <v>-162.63836000000003</v>
      </c>
      <c r="M46" s="45">
        <f t="shared" si="5"/>
        <v>0.48692141958217966</v>
      </c>
      <c r="N46" s="46">
        <f t="shared" si="1"/>
        <v>-611.53836000000013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47.595970000000001</v>
      </c>
      <c r="K47" s="45">
        <v>0</v>
      </c>
      <c r="L47" s="44">
        <f t="shared" si="0"/>
        <v>44.595970000000001</v>
      </c>
      <c r="M47" s="45">
        <f t="shared" si="5"/>
        <v>3.4489833333333331</v>
      </c>
      <c r="N47" s="46">
        <f t="shared" si="1"/>
        <v>33.795969999999997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32508.3</v>
      </c>
      <c r="I48" s="43">
        <v>14010</v>
      </c>
      <c r="J48" s="44">
        <v>23961.203160000001</v>
      </c>
      <c r="K48" s="45">
        <f>J48/I48</f>
        <v>1.7102928736616703</v>
      </c>
      <c r="L48" s="44">
        <f t="shared" si="0"/>
        <v>9951.2031600000009</v>
      </c>
      <c r="M48" s="45">
        <f t="shared" si="5"/>
        <v>0.73707955076088261</v>
      </c>
      <c r="N48" s="46">
        <f t="shared" si="1"/>
        <v>-8547.0968399999983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182812.5</v>
      </c>
      <c r="I49" s="43">
        <v>108900</v>
      </c>
      <c r="J49" s="44">
        <v>155038.61110000001</v>
      </c>
      <c r="K49" s="45">
        <f>J49/I49</f>
        <v>1.4236787061524334</v>
      </c>
      <c r="L49" s="44">
        <f t="shared" si="0"/>
        <v>46138.611100000009</v>
      </c>
      <c r="M49" s="45">
        <f t="shared" si="5"/>
        <v>0.84807445388034197</v>
      </c>
      <c r="N49" s="46">
        <f t="shared" si="1"/>
        <v>-27773.888899999991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326367.3</v>
      </c>
      <c r="I50" s="43">
        <v>209000</v>
      </c>
      <c r="J50" s="44">
        <v>270224.41035999998</v>
      </c>
      <c r="K50" s="45">
        <f>J50/I50</f>
        <v>1.2929397624880381</v>
      </c>
      <c r="L50" s="44">
        <f t="shared" si="0"/>
        <v>61224.41035999998</v>
      </c>
      <c r="M50" s="45">
        <f t="shared" si="5"/>
        <v>0.82797636393106777</v>
      </c>
      <c r="N50" s="46">
        <f t="shared" si="1"/>
        <v>-56142.889640000009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4630</v>
      </c>
      <c r="J51" s="44">
        <v>6649.7360699999999</v>
      </c>
      <c r="K51" s="45">
        <f>J51/I51</f>
        <v>1.4362280928725701</v>
      </c>
      <c r="L51" s="44">
        <f t="shared" si="0"/>
        <v>2019.7360699999999</v>
      </c>
      <c r="M51" s="45">
        <f t="shared" si="5"/>
        <v>0.94313133022253115</v>
      </c>
      <c r="N51" s="46">
        <f t="shared" si="1"/>
        <v>-400.96392999999989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1540</v>
      </c>
      <c r="J52" s="44">
        <v>1354.2818500000001</v>
      </c>
      <c r="K52" s="45">
        <f>J52/I52</f>
        <v>0.8794037987012987</v>
      </c>
      <c r="L52" s="44">
        <f t="shared" si="0"/>
        <v>-185.71814999999992</v>
      </c>
      <c r="M52" s="45">
        <f t="shared" si="5"/>
        <v>0.30802234630518344</v>
      </c>
      <c r="N52" s="46">
        <f t="shared" si="1"/>
        <v>-3042.4181499999995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3439.3</v>
      </c>
      <c r="J53" s="44">
        <v>2447.3012199999998</v>
      </c>
      <c r="K53" s="45">
        <v>0</v>
      </c>
      <c r="L53" s="44">
        <f t="shared" si="0"/>
        <v>-991.99878000000035</v>
      </c>
      <c r="M53" s="45">
        <f t="shared" si="5"/>
        <v>0.40924769565217389</v>
      </c>
      <c r="N53" s="46">
        <f t="shared" si="1"/>
        <v>-3532.6987800000002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3870.9</v>
      </c>
      <c r="I54" s="43">
        <v>1470</v>
      </c>
      <c r="J54" s="44">
        <v>2154.1669400000001</v>
      </c>
      <c r="K54" s="45">
        <v>0</v>
      </c>
      <c r="L54" s="44">
        <f t="shared" si="0"/>
        <v>684.16694000000007</v>
      </c>
      <c r="M54" s="45">
        <f t="shared" si="5"/>
        <v>0.55650286496680357</v>
      </c>
      <c r="N54" s="46">
        <f t="shared" si="1"/>
        <v>-1716.73306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1313.3</v>
      </c>
      <c r="J55" s="38">
        <f>J56</f>
        <v>1236.78252</v>
      </c>
      <c r="K55" s="26">
        <f>J55/I55</f>
        <v>0.94173648062133564</v>
      </c>
      <c r="L55" s="38">
        <f t="shared" si="0"/>
        <v>-76.517479999999978</v>
      </c>
      <c r="M55" s="26">
        <f t="shared" si="5"/>
        <v>0.29354247739301731</v>
      </c>
      <c r="N55" s="27">
        <f t="shared" si="1"/>
        <v>-2976.5174800000004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1313.3</v>
      </c>
      <c r="J56" s="44">
        <v>1236.78252</v>
      </c>
      <c r="K56" s="45">
        <f>J56/I56</f>
        <v>0.94173648062133564</v>
      </c>
      <c r="L56" s="44">
        <f t="shared" si="0"/>
        <v>-76.517479999999978</v>
      </c>
      <c r="M56" s="45">
        <f t="shared" si="5"/>
        <v>0.29354247739301731</v>
      </c>
      <c r="N56" s="46">
        <f t="shared" si="1"/>
        <v>-2976.5174800000004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997.8</v>
      </c>
      <c r="I58" s="38">
        <f>I59+I60</f>
        <v>353</v>
      </c>
      <c r="J58" s="38">
        <f>J59+J60</f>
        <v>888.00234</v>
      </c>
      <c r="K58" s="26">
        <f>J58/I58</f>
        <v>2.5155873654390937</v>
      </c>
      <c r="L58" s="38">
        <f t="shared" si="0"/>
        <v>535.00234</v>
      </c>
      <c r="M58" s="26">
        <f>J58/H58</f>
        <v>0.88996025255562239</v>
      </c>
      <c r="N58" s="27">
        <f t="shared" si="1"/>
        <v>-109.79765999999995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997.8</v>
      </c>
      <c r="I59" s="43">
        <v>353</v>
      </c>
      <c r="J59" s="44">
        <v>855.23478</v>
      </c>
      <c r="K59" s="45">
        <f>J59/I59</f>
        <v>2.4227614164305948</v>
      </c>
      <c r="L59" s="44">
        <f t="shared" si="0"/>
        <v>502.23478</v>
      </c>
      <c r="M59" s="45">
        <f>J59/H59</f>
        <v>0.85712044497895379</v>
      </c>
      <c r="N59" s="46">
        <f t="shared" si="1"/>
        <v>-142.56521999999995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32.767560000000003</v>
      </c>
      <c r="K60" s="45">
        <v>0</v>
      </c>
      <c r="L60" s="44">
        <f t="shared" si="0"/>
        <v>32.767560000000003</v>
      </c>
      <c r="M60" s="45">
        <v>0</v>
      </c>
      <c r="N60" s="46">
        <f t="shared" si="1"/>
        <v>32.767560000000003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-124.07215000000002</v>
      </c>
      <c r="K61" s="26">
        <v>0</v>
      </c>
      <c r="L61" s="38">
        <f t="shared" si="0"/>
        <v>-124.07215000000002</v>
      </c>
      <c r="M61" s="26">
        <v>0</v>
      </c>
      <c r="N61" s="27">
        <f t="shared" si="1"/>
        <v>-124.07215000000002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-11.49052</v>
      </c>
      <c r="K62" s="45">
        <v>0</v>
      </c>
      <c r="L62" s="44">
        <f t="shared" si="0"/>
        <v>-11.49052</v>
      </c>
      <c r="M62" s="45">
        <v>0</v>
      </c>
      <c r="N62" s="46">
        <f t="shared" si="1"/>
        <v>-11.49052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-73.250420000000005</v>
      </c>
      <c r="K63" s="45">
        <v>0</v>
      </c>
      <c r="L63" s="44">
        <f t="shared" si="0"/>
        <v>-73.250420000000005</v>
      </c>
      <c r="M63" s="45">
        <v>0</v>
      </c>
      <c r="N63" s="46">
        <f t="shared" si="1"/>
        <v>-73.250420000000005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3.5</v>
      </c>
      <c r="K65" s="45">
        <v>0</v>
      </c>
      <c r="L65" s="44">
        <f t="shared" si="0"/>
        <v>3.5</v>
      </c>
      <c r="M65" s="45">
        <v>0</v>
      </c>
      <c r="N65" s="46">
        <f t="shared" si="1"/>
        <v>3.5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-7.7617000000000003</v>
      </c>
      <c r="K66" s="45">
        <v>0</v>
      </c>
      <c r="L66" s="44">
        <f t="shared" si="0"/>
        <v>-7.7617000000000003</v>
      </c>
      <c r="M66" s="45">
        <v>0</v>
      </c>
      <c r="N66" s="46">
        <f t="shared" si="1"/>
        <v>-7.7617000000000003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-26.638210000000001</v>
      </c>
      <c r="K67" s="45">
        <v>0</v>
      </c>
      <c r="L67" s="44">
        <f t="shared" si="0"/>
        <v>-26.638210000000001</v>
      </c>
      <c r="M67" s="45">
        <v>0</v>
      </c>
      <c r="N67" s="46">
        <f t="shared" si="1"/>
        <v>-26.638210000000001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211057.7</v>
      </c>
      <c r="I72" s="38">
        <f>I74+I75+I73+I76</f>
        <v>144450</v>
      </c>
      <c r="J72" s="38">
        <f>J74+J75+J73+J76</f>
        <v>190629.69689999998</v>
      </c>
      <c r="K72" s="26">
        <f>J72/I72</f>
        <v>1.3196932980269989</v>
      </c>
      <c r="L72" s="38">
        <f t="shared" si="6"/>
        <v>46179.696899999981</v>
      </c>
      <c r="M72" s="26">
        <f>J72/H72</f>
        <v>0.90321128724514654</v>
      </c>
      <c r="N72" s="27">
        <f t="shared" si="7"/>
        <v>-20428.003100000031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74600</v>
      </c>
      <c r="I74" s="43">
        <v>45950</v>
      </c>
      <c r="J74" s="44">
        <v>64492.277439999998</v>
      </c>
      <c r="K74" s="45">
        <f>J74/I74</f>
        <v>1.40353160914037</v>
      </c>
      <c r="L74" s="44">
        <f t="shared" si="6"/>
        <v>18542.277439999998</v>
      </c>
      <c r="M74" s="45">
        <f>J74/H74</f>
        <v>0.86450774048257373</v>
      </c>
      <c r="N74" s="46">
        <f t="shared" si="7"/>
        <v>-10107.722560000002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136457.70000000001</v>
      </c>
      <c r="I75" s="43">
        <v>98500</v>
      </c>
      <c r="J75" s="44">
        <v>126134.99123</v>
      </c>
      <c r="K75" s="45">
        <f>J75/I75</f>
        <v>1.2805582865989849</v>
      </c>
      <c r="L75" s="44">
        <f t="shared" si="6"/>
        <v>27634.99123</v>
      </c>
      <c r="M75" s="45">
        <f>J75/H75</f>
        <v>0.92435231745808399</v>
      </c>
      <c r="N75" s="46">
        <f t="shared" si="7"/>
        <v>-10322.708770000012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36739.769999999997</v>
      </c>
      <c r="I83" s="38">
        <f>I84+I91+I112</f>
        <v>23540.393100000001</v>
      </c>
      <c r="J83" s="38">
        <f>J84+J91+J112</f>
        <v>23938.239769999996</v>
      </c>
      <c r="K83" s="26">
        <f>J83/I83</f>
        <v>1.0169005958528363</v>
      </c>
      <c r="L83" s="38">
        <f t="shared" si="6"/>
        <v>397.84666999999536</v>
      </c>
      <c r="M83" s="26">
        <f>J83/H83</f>
        <v>0.65156204761216518</v>
      </c>
      <c r="N83" s="27">
        <f t="shared" si="7"/>
        <v>-12801.53023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1656.5</v>
      </c>
      <c r="I84" s="38">
        <f>I85+I88</f>
        <v>697</v>
      </c>
      <c r="J84" s="38">
        <f>J85+J88</f>
        <v>1670.9947400000001</v>
      </c>
      <c r="K84" s="26">
        <f>J84/I84</f>
        <v>2.3974099569583931</v>
      </c>
      <c r="L84" s="38">
        <f t="shared" si="6"/>
        <v>973.99474000000009</v>
      </c>
      <c r="M84" s="26">
        <f>J84/H84</f>
        <v>1.008750220344099</v>
      </c>
      <c r="N84" s="27">
        <f t="shared" si="7"/>
        <v>14.494740000000093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1221.5</v>
      </c>
      <c r="I85" s="38">
        <f>I87+I86</f>
        <v>503</v>
      </c>
      <c r="J85" s="38">
        <f>J87+J86</f>
        <v>1360.82376</v>
      </c>
      <c r="K85" s="26">
        <f>J85/I85</f>
        <v>2.7054150298210735</v>
      </c>
      <c r="L85" s="38">
        <f t="shared" si="6"/>
        <v>857.82375999999999</v>
      </c>
      <c r="M85" s="26">
        <f>J85/H85</f>
        <v>1.1140595661072452</v>
      </c>
      <c r="N85" s="27">
        <f t="shared" si="7"/>
        <v>139.32375999999999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1221.5</v>
      </c>
      <c r="I86" s="43">
        <v>503</v>
      </c>
      <c r="J86" s="44">
        <v>1310.6957500000001</v>
      </c>
      <c r="K86" s="45">
        <f>J86/I86</f>
        <v>2.6057569582504971</v>
      </c>
      <c r="L86" s="44">
        <f t="shared" si="6"/>
        <v>807.69575000000009</v>
      </c>
      <c r="M86" s="45">
        <f>J86/H86</f>
        <v>1.0730214899713468</v>
      </c>
      <c r="N86" s="46">
        <f t="shared" si="7"/>
        <v>89.195750000000089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194</v>
      </c>
      <c r="J88" s="38">
        <f>J90+J89</f>
        <v>310.17097999999999</v>
      </c>
      <c r="K88" s="26">
        <f>J88/I88</f>
        <v>1.5988194845360824</v>
      </c>
      <c r="L88" s="38">
        <f t="shared" si="6"/>
        <v>116.17097999999999</v>
      </c>
      <c r="M88" s="26">
        <f t="shared" ref="M88:M93" si="8">J88/H88</f>
        <v>0.71303673563218384</v>
      </c>
      <c r="N88" s="27">
        <f t="shared" si="7"/>
        <v>-124.82902000000001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3</v>
      </c>
      <c r="J89" s="44">
        <v>-4.2523400000000002</v>
      </c>
      <c r="K89" s="45">
        <f>J89/I89</f>
        <v>-1.4174466666666667</v>
      </c>
      <c r="L89" s="44">
        <f t="shared" si="6"/>
        <v>-7.2523400000000002</v>
      </c>
      <c r="M89" s="45">
        <f t="shared" si="8"/>
        <v>-0.32963875968992251</v>
      </c>
      <c r="N89" s="46">
        <f t="shared" si="7"/>
        <v>-17.152340000000002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191</v>
      </c>
      <c r="J90" s="44">
        <v>314.42331999999999</v>
      </c>
      <c r="K90" s="45">
        <f>J90/I90</f>
        <v>1.6461953926701569</v>
      </c>
      <c r="L90" s="44">
        <f t="shared" si="6"/>
        <v>123.42331999999999</v>
      </c>
      <c r="M90" s="45">
        <f t="shared" si="8"/>
        <v>0.74490244018005203</v>
      </c>
      <c r="N90" s="46">
        <f t="shared" si="7"/>
        <v>-107.67668000000003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34427.369999999995</v>
      </c>
      <c r="I91" s="38">
        <f>I92+I105+I107</f>
        <v>22520.393100000001</v>
      </c>
      <c r="J91" s="38">
        <f>J92+J105+J107</f>
        <v>21710.302489999998</v>
      </c>
      <c r="K91" s="26">
        <f>J91/I91</f>
        <v>0.96402857594879177</v>
      </c>
      <c r="L91" s="38">
        <f t="shared" si="6"/>
        <v>-810.09061000000293</v>
      </c>
      <c r="M91" s="26">
        <f t="shared" si="8"/>
        <v>0.63061170487318674</v>
      </c>
      <c r="N91" s="27">
        <f t="shared" si="7"/>
        <v>-12717.067509999997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H93+H96+H97+H98+H99+H100+H101+H104+H102+H103+H94+H95</f>
        <v>29174.469999999998</v>
      </c>
      <c r="I92" s="59">
        <f>I93+I96+I97+I98+I99+I100+I101+I104+I102+I103+I94+I95</f>
        <v>19322.97</v>
      </c>
      <c r="J92" s="59">
        <f>J93+J96+J97+J98+J99+J100+J101+J104+J102+J103+J94+J95</f>
        <v>18785.76154</v>
      </c>
      <c r="K92" s="45">
        <f>J92/I92</f>
        <v>0.97219845292933738</v>
      </c>
      <c r="L92" s="44">
        <f t="shared" si="6"/>
        <v>-537.20846000000165</v>
      </c>
      <c r="M92" s="45">
        <f t="shared" si="8"/>
        <v>0.64391097901692818</v>
      </c>
      <c r="N92" s="46">
        <f t="shared" si="7"/>
        <v>-10388.708459999998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0.1</v>
      </c>
      <c r="J93" s="59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290</v>
      </c>
      <c r="I94" s="59">
        <v>290</v>
      </c>
      <c r="J94" s="44">
        <v>437.01578999999998</v>
      </c>
      <c r="K94" s="45">
        <v>0</v>
      </c>
      <c r="L94" s="44">
        <f t="shared" si="6"/>
        <v>147.01578999999998</v>
      </c>
      <c r="M94" s="45">
        <v>0</v>
      </c>
      <c r="N94" s="46">
        <f t="shared" si="7"/>
        <v>147.01578999999998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2.34</v>
      </c>
      <c r="K95" s="45">
        <v>0</v>
      </c>
      <c r="L95" s="44">
        <f t="shared" si="6"/>
        <v>2.34</v>
      </c>
      <c r="M95" s="45">
        <v>0</v>
      </c>
      <c r="N95" s="46">
        <f t="shared" si="7"/>
        <v>2.34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2.1</v>
      </c>
      <c r="J96" s="44">
        <v>0</v>
      </c>
      <c r="K96" s="45">
        <v>0</v>
      </c>
      <c r="L96" s="44">
        <f t="shared" si="6"/>
        <v>-2.1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46</v>
      </c>
      <c r="J98" s="44">
        <v>7.2498500000000003</v>
      </c>
      <c r="K98" s="45">
        <f>J98/I98</f>
        <v>0.15760543478260872</v>
      </c>
      <c r="L98" s="44">
        <f t="shared" si="6"/>
        <v>-38.750149999999998</v>
      </c>
      <c r="M98" s="45">
        <f>J98/H98</f>
        <v>0.10125488826815644</v>
      </c>
      <c r="N98" s="46">
        <f t="shared" si="7"/>
        <v>-64.350149999999999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3815.6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0.65561379599538738</v>
      </c>
      <c r="N99" s="46">
        <f t="shared" si="7"/>
        <v>-1314.04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10207.299999999999</v>
      </c>
      <c r="I100" s="43">
        <v>6890</v>
      </c>
      <c r="J100" s="44">
        <v>6700.1850000000004</v>
      </c>
      <c r="K100" s="45">
        <f>J100/I100</f>
        <v>0.97245065312046453</v>
      </c>
      <c r="L100" s="44">
        <f t="shared" si="6"/>
        <v>-189.8149999999996</v>
      </c>
      <c r="M100" s="45">
        <f>J100/H100</f>
        <v>0.65641109793970986</v>
      </c>
      <c r="N100" s="46">
        <f t="shared" si="7"/>
        <v>-3507.1149999999989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675</v>
      </c>
      <c r="J101" s="44">
        <v>444.65562</v>
      </c>
      <c r="K101" s="45">
        <f>J101/I101</f>
        <v>0.65874906666666666</v>
      </c>
      <c r="L101" s="44">
        <f t="shared" si="6"/>
        <v>-230.34438</v>
      </c>
      <c r="M101" s="45">
        <f>J101/H101</f>
        <v>0.4148293870696893</v>
      </c>
      <c r="N101" s="46">
        <f t="shared" si="7"/>
        <v>-627.24438000000009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13060.07</v>
      </c>
      <c r="I102" s="43">
        <v>7768.27</v>
      </c>
      <c r="J102" s="44">
        <v>7841.3140100000001</v>
      </c>
      <c r="K102" s="45">
        <f>J102/I102</f>
        <v>1.0094028670476181</v>
      </c>
      <c r="L102" s="44">
        <f t="shared" si="6"/>
        <v>73.044009999999616</v>
      </c>
      <c r="M102" s="45">
        <f>J102/H102</f>
        <v>0.60040367394661742</v>
      </c>
      <c r="N102" s="46">
        <f t="shared" si="7"/>
        <v>-5218.7559899999997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579.79999999999995</v>
      </c>
      <c r="I103" s="43">
        <v>579.79999999999995</v>
      </c>
      <c r="J103" s="44">
        <v>740.35744</v>
      </c>
      <c r="K103" s="45">
        <v>0</v>
      </c>
      <c r="L103" s="44">
        <f t="shared" si="6"/>
        <v>160.55744000000004</v>
      </c>
      <c r="M103" s="45">
        <v>0</v>
      </c>
      <c r="N103" s="46">
        <f t="shared" si="7"/>
        <v>160.55744000000004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71.7</v>
      </c>
      <c r="I104" s="43">
        <v>71.7</v>
      </c>
      <c r="J104" s="44">
        <v>104.06383</v>
      </c>
      <c r="K104" s="45">
        <v>0</v>
      </c>
      <c r="L104" s="44">
        <f t="shared" si="6"/>
        <v>32.363829999999993</v>
      </c>
      <c r="M104" s="45">
        <v>0</v>
      </c>
      <c r="N104" s="46">
        <f t="shared" si="7"/>
        <v>32.363829999999993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1420</v>
      </c>
      <c r="J105" s="51">
        <f>J106</f>
        <v>1141.51613</v>
      </c>
      <c r="K105" s="26">
        <f>J105/I105</f>
        <v>0.80388459859154926</v>
      </c>
      <c r="L105" s="38">
        <f t="shared" si="6"/>
        <v>-278.48387000000002</v>
      </c>
      <c r="M105" s="26">
        <f>J105/H105</f>
        <v>0.52420836241734026</v>
      </c>
      <c r="N105" s="27">
        <f t="shared" si="7"/>
        <v>-1036.0838699999999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1420</v>
      </c>
      <c r="J106" s="44">
        <f>200.19503+941.3211</f>
        <v>1141.51613</v>
      </c>
      <c r="K106" s="45">
        <f>J106/I106</f>
        <v>0.80388459859154926</v>
      </c>
      <c r="L106" s="44">
        <f t="shared" si="6"/>
        <v>-278.48387000000002</v>
      </c>
      <c r="M106" s="45">
        <f>J106/H106</f>
        <v>0.52420836241734026</v>
      </c>
      <c r="N106" s="46">
        <f t="shared" si="7"/>
        <v>-1036.0838699999999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3075.3</v>
      </c>
      <c r="I107" s="51">
        <f>I108+I109+I110+I111</f>
        <v>1777.4231</v>
      </c>
      <c r="J107" s="51">
        <f>J108+J109+J110+J111</f>
        <v>1783.0248200000001</v>
      </c>
      <c r="K107" s="26">
        <f>J107/I107</f>
        <v>1.0031515962631521</v>
      </c>
      <c r="L107" s="38">
        <f t="shared" si="6"/>
        <v>5.6017200000001139</v>
      </c>
      <c r="M107" s="26">
        <f>J107/H107</f>
        <v>0.57978890514746528</v>
      </c>
      <c r="N107" s="27">
        <f t="shared" si="7"/>
        <v>-1292.2751800000001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342.5231</v>
      </c>
      <c r="J108" s="44">
        <v>280.55372999999997</v>
      </c>
      <c r="K108" s="45">
        <f>J108/I108</f>
        <v>0.81907973506020459</v>
      </c>
      <c r="L108" s="44">
        <f t="shared" si="6"/>
        <v>-61.969370000000026</v>
      </c>
      <c r="M108" s="45">
        <f>J108/H108</f>
        <v>0.37912666216216212</v>
      </c>
      <c r="N108" s="46">
        <f t="shared" si="7"/>
        <v>-459.44627000000003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231</v>
      </c>
      <c r="J109" s="44">
        <v>217.7834</v>
      </c>
      <c r="K109" s="45">
        <f>J109/I109</f>
        <v>0.94278528138528139</v>
      </c>
      <c r="L109" s="44">
        <f t="shared" si="6"/>
        <v>-13.2166</v>
      </c>
      <c r="M109" s="45">
        <f>J109/H109</f>
        <v>0.55841897435897436</v>
      </c>
      <c r="N109" s="46">
        <f t="shared" si="7"/>
        <v>-172.2166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1945.3</v>
      </c>
      <c r="I111" s="43">
        <v>1203.9000000000001</v>
      </c>
      <c r="J111" s="44">
        <v>1284.4326900000001</v>
      </c>
      <c r="K111" s="45">
        <f>J111/I111</f>
        <v>1.0668931721903812</v>
      </c>
      <c r="L111" s="44">
        <f t="shared" si="6"/>
        <v>80.532690000000002</v>
      </c>
      <c r="M111" s="45">
        <f>J111/H111</f>
        <v>0.6602748624890763</v>
      </c>
      <c r="N111" s="46">
        <f t="shared" si="7"/>
        <v>-660.86730999999986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>G114+G113</f>
        <v>183</v>
      </c>
      <c r="H112" s="51">
        <f>H114+H113</f>
        <v>655.9</v>
      </c>
      <c r="I112" s="51">
        <f>I114+I113</f>
        <v>323</v>
      </c>
      <c r="J112" s="51">
        <f>J114+J113</f>
        <v>556.94254000000001</v>
      </c>
      <c r="K112" s="26">
        <f>J112/I112</f>
        <v>1.7242803095975232</v>
      </c>
      <c r="L112" s="38">
        <f t="shared" si="6"/>
        <v>233.94254000000001</v>
      </c>
      <c r="M112" s="26">
        <f>J112/H112</f>
        <v>0.84912721451440776</v>
      </c>
      <c r="N112" s="27">
        <f t="shared" si="7"/>
        <v>-98.957459999999969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>G115</f>
        <v>183</v>
      </c>
      <c r="H114" s="44">
        <f>H115</f>
        <v>655.9</v>
      </c>
      <c r="I114" s="44">
        <f>I115</f>
        <v>323</v>
      </c>
      <c r="J114" s="44">
        <f>J115</f>
        <v>552.94992000000002</v>
      </c>
      <c r="K114" s="45">
        <f t="shared" ref="K114:K120" si="9">J114/I114</f>
        <v>1.7119192569659443</v>
      </c>
      <c r="L114" s="44">
        <f t="shared" si="6"/>
        <v>229.94992000000002</v>
      </c>
      <c r="M114" s="45">
        <f t="shared" ref="M114:M120" si="10">J114/H114</f>
        <v>0.84303997560603761</v>
      </c>
      <c r="N114" s="46">
        <f t="shared" si="7"/>
        <v>-102.95007999999996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655.9</v>
      </c>
      <c r="I115" s="61">
        <v>323</v>
      </c>
      <c r="J115" s="62">
        <v>552.94992000000002</v>
      </c>
      <c r="K115" s="45">
        <f t="shared" si="9"/>
        <v>1.7119192569659443</v>
      </c>
      <c r="L115" s="44">
        <f t="shared" si="6"/>
        <v>229.94992000000002</v>
      </c>
      <c r="M115" s="45">
        <f t="shared" si="10"/>
        <v>0.84303997560603761</v>
      </c>
      <c r="N115" s="46">
        <f t="shared" si="7"/>
        <v>-102.95007999999996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>G117</f>
        <v>16.899999999999999</v>
      </c>
      <c r="H116" s="38">
        <f>H117</f>
        <v>562.6</v>
      </c>
      <c r="I116" s="38">
        <f>I117</f>
        <v>145</v>
      </c>
      <c r="J116" s="38">
        <f>J117</f>
        <v>553.24761999999998</v>
      </c>
      <c r="K116" s="26">
        <f t="shared" si="9"/>
        <v>3.8155008275862068</v>
      </c>
      <c r="L116" s="38">
        <f t="shared" si="6"/>
        <v>408.24761999999998</v>
      </c>
      <c r="M116" s="26">
        <f t="shared" si="10"/>
        <v>0.98337650195520787</v>
      </c>
      <c r="N116" s="27">
        <f t="shared" si="7"/>
        <v>-9.3523800000000392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>G118</f>
        <v>16.899999999999999</v>
      </c>
      <c r="H117" s="65">
        <f>H118</f>
        <v>562.6</v>
      </c>
      <c r="I117" s="65">
        <f>I118</f>
        <v>145</v>
      </c>
      <c r="J117" s="65">
        <f>J118+J121</f>
        <v>553.24761999999998</v>
      </c>
      <c r="K117" s="45">
        <f t="shared" si="9"/>
        <v>3.8155008275862068</v>
      </c>
      <c r="L117" s="44">
        <f t="shared" si="6"/>
        <v>408.24761999999998</v>
      </c>
      <c r="M117" s="45">
        <f t="shared" si="10"/>
        <v>0.98337650195520787</v>
      </c>
      <c r="N117" s="46">
        <f t="shared" si="7"/>
        <v>-9.3523800000000392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562.6</v>
      </c>
      <c r="I118" s="43">
        <v>145</v>
      </c>
      <c r="J118" s="44">
        <v>553.24761999999998</v>
      </c>
      <c r="K118" s="45">
        <f t="shared" si="9"/>
        <v>3.8155008275862068</v>
      </c>
      <c r="L118" s="44">
        <f t="shared" si="6"/>
        <v>408.24761999999998</v>
      </c>
      <c r="M118" s="45">
        <f t="shared" si="10"/>
        <v>0.98337650195520787</v>
      </c>
      <c r="N118" s="46">
        <f t="shared" si="7"/>
        <v>-9.3523800000000392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6"/>
        <v>0</v>
      </c>
      <c r="M121" s="82">
        <v>0</v>
      </c>
      <c r="N121" s="83">
        <f t="shared" si="7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2252735.5700000003</v>
      </c>
      <c r="I122" s="88">
        <f>I5+I83+I116</f>
        <v>1431510.5930999999</v>
      </c>
      <c r="J122" s="88">
        <f>J5+J83+J116</f>
        <v>1680707.61152</v>
      </c>
      <c r="K122" s="89">
        <f>J122/I122</f>
        <v>1.174079758557953</v>
      </c>
      <c r="L122" s="90">
        <f t="shared" si="6"/>
        <v>249197.01842000009</v>
      </c>
      <c r="M122" s="89">
        <f>J122/H122</f>
        <v>0.74607407718074958</v>
      </c>
      <c r="N122" s="91">
        <f t="shared" si="7"/>
        <v>-572027.95848000026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12 08 16</vt:lpstr>
      <vt:lpstr>'12 08 16'!Заголовки_для_печати</vt:lpstr>
      <vt:lpstr>'12 08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2016-09-12T09:15:10Z</dcterms:created>
  <dcterms:modified xsi:type="dcterms:W3CDTF">2016-09-12T10:54:03Z</dcterms:modified>
</cp:coreProperties>
</file>