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"/>
    </mc:Choice>
  </mc:AlternateContent>
  <bookViews>
    <workbookView xWindow="0" yWindow="0" windowWidth="15360" windowHeight="7755"/>
  </bookViews>
  <sheets>
    <sheet name="травень15" sheetId="9" r:id="rId1"/>
    <sheet name="29.05.15зм" sheetId="8" r:id="rId2"/>
    <sheet name="22.05.15зм" sheetId="6" r:id="rId3"/>
    <sheet name="15.05.15зм" sheetId="7" r:id="rId4"/>
    <sheet name="08.05.15зм " sheetId="5" r:id="rId5"/>
    <sheet name="24 квітня15 зі зм" sheetId="3" r:id="rId6"/>
    <sheet name="берез зі змінами 15" sheetId="2" r:id="rId7"/>
    <sheet name="березень15" sheetId="1" r:id="rId8"/>
  </sheets>
  <externalReferences>
    <externalReference r:id="rId9"/>
  </externalReferences>
  <definedNames>
    <definedName name="_xlnm.Print_Titles" localSheetId="4">'08.05.15зм '!$A:$C</definedName>
    <definedName name="_xlnm.Print_Titles" localSheetId="3">'15.05.15зм'!$A:$C</definedName>
    <definedName name="_xlnm.Print_Titles" localSheetId="2">'22.05.15зм'!$A:$C</definedName>
    <definedName name="_xlnm.Print_Titles" localSheetId="5">'24 квітня15 зі зм'!$A:$C</definedName>
    <definedName name="_xlnm.Print_Titles" localSheetId="1">'29.05.15зм'!$A:$C</definedName>
    <definedName name="_xlnm.Print_Titles" localSheetId="6">'берез зі змінами 15'!$A:$C</definedName>
    <definedName name="_xlnm.Print_Titles" localSheetId="7">березень15!$A:$C</definedName>
    <definedName name="_xlnm.Print_Titles" localSheetId="0">травень15!$A:$C</definedName>
    <definedName name="_xlnm.Print_Area" localSheetId="4">'08.05.15зм '!$A$1:$L$122</definedName>
    <definedName name="_xlnm.Print_Area" localSheetId="3">'15.05.15зм'!$A$1:$L$122</definedName>
    <definedName name="_xlnm.Print_Area" localSheetId="2">'22.05.15зм'!$A$1:$L$122</definedName>
    <definedName name="_xlnm.Print_Area" localSheetId="5">'24 квітня15 зі зм'!$A$1:$L$122</definedName>
    <definedName name="_xlnm.Print_Area" localSheetId="1">'29.05.15зм'!$A$1:$L$122</definedName>
    <definedName name="_xlnm.Print_Area" localSheetId="6">'берез зі змінами 15'!$A$1:$L$121</definedName>
    <definedName name="_xlnm.Print_Area" localSheetId="7">березень15!$A$1:$K$120</definedName>
    <definedName name="_xlnm.Print_Area" localSheetId="0">травень15!$A$1:$L$122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9" l="1"/>
  <c r="G94" i="9" l="1"/>
  <c r="G85" i="9"/>
  <c r="G29" i="9"/>
  <c r="G21" i="9"/>
  <c r="G84" i="9" l="1"/>
  <c r="I84" i="9" s="1"/>
  <c r="G35" i="9"/>
  <c r="G27" i="9"/>
  <c r="G24" i="9"/>
  <c r="K24" i="9" s="1"/>
  <c r="G19" i="9"/>
  <c r="G17" i="9"/>
  <c r="G16" i="9"/>
  <c r="G12" i="9"/>
  <c r="G11" i="9"/>
  <c r="K11" i="9" s="1"/>
  <c r="G9" i="9"/>
  <c r="G8" i="9"/>
  <c r="L120" i="9"/>
  <c r="K120" i="9"/>
  <c r="J120" i="9"/>
  <c r="I120" i="9"/>
  <c r="L119" i="9"/>
  <c r="K119" i="9"/>
  <c r="J119" i="9"/>
  <c r="I119" i="9"/>
  <c r="L118" i="9"/>
  <c r="K118" i="9"/>
  <c r="J118" i="9"/>
  <c r="I118" i="9"/>
  <c r="L117" i="9"/>
  <c r="G117" i="9"/>
  <c r="F117" i="9"/>
  <c r="F116" i="9"/>
  <c r="L115" i="9"/>
  <c r="K115" i="9"/>
  <c r="J115" i="9"/>
  <c r="I115" i="9"/>
  <c r="L114" i="9"/>
  <c r="I114" i="9"/>
  <c r="G114" i="9"/>
  <c r="F114" i="9"/>
  <c r="L113" i="9"/>
  <c r="K113" i="9"/>
  <c r="I113" i="9"/>
  <c r="F112" i="9"/>
  <c r="L111" i="9"/>
  <c r="K111" i="9"/>
  <c r="J111" i="9"/>
  <c r="I111" i="9"/>
  <c r="L110" i="9"/>
  <c r="I110" i="9"/>
  <c r="L109" i="9"/>
  <c r="I109" i="9"/>
  <c r="L108" i="9"/>
  <c r="K108" i="9"/>
  <c r="J108" i="9"/>
  <c r="I108" i="9"/>
  <c r="G107" i="9"/>
  <c r="F107" i="9"/>
  <c r="K106" i="9"/>
  <c r="J106" i="9"/>
  <c r="I106" i="9"/>
  <c r="G106" i="9"/>
  <c r="L106" i="9" s="1"/>
  <c r="K105" i="9"/>
  <c r="G105" i="9"/>
  <c r="F105" i="9"/>
  <c r="F95" i="9" s="1"/>
  <c r="L104" i="9"/>
  <c r="I104" i="9"/>
  <c r="L103" i="9"/>
  <c r="K103" i="9"/>
  <c r="J103" i="9"/>
  <c r="I103" i="9"/>
  <c r="L102" i="9"/>
  <c r="K102" i="9"/>
  <c r="J102" i="9"/>
  <c r="I102" i="9"/>
  <c r="L101" i="9"/>
  <c r="K101" i="9"/>
  <c r="J101" i="9"/>
  <c r="I101" i="9"/>
  <c r="L100" i="9"/>
  <c r="K100" i="9"/>
  <c r="J100" i="9"/>
  <c r="I100" i="9"/>
  <c r="L99" i="9"/>
  <c r="K99" i="9"/>
  <c r="J99" i="9"/>
  <c r="I99" i="9"/>
  <c r="L98" i="9"/>
  <c r="K98" i="9"/>
  <c r="J98" i="9"/>
  <c r="I98" i="9"/>
  <c r="L97" i="9"/>
  <c r="K97" i="9"/>
  <c r="I97" i="9"/>
  <c r="G96" i="9"/>
  <c r="L96" i="9" s="1"/>
  <c r="F96" i="9"/>
  <c r="E96" i="9"/>
  <c r="D96" i="9"/>
  <c r="L93" i="9"/>
  <c r="K93" i="9"/>
  <c r="J93" i="9"/>
  <c r="I93" i="9"/>
  <c r="F92" i="9"/>
  <c r="E92" i="9"/>
  <c r="D92" i="9"/>
  <c r="L91" i="9"/>
  <c r="I91" i="9"/>
  <c r="L90" i="9"/>
  <c r="K90" i="9"/>
  <c r="J90" i="9"/>
  <c r="I90" i="9"/>
  <c r="K89" i="9"/>
  <c r="G89" i="9"/>
  <c r="F89" i="9"/>
  <c r="F88" i="9" s="1"/>
  <c r="F87" i="9" s="1"/>
  <c r="L86" i="9"/>
  <c r="G86" i="9"/>
  <c r="I86" i="9" s="1"/>
  <c r="L85" i="9"/>
  <c r="I85" i="9"/>
  <c r="L84" i="9"/>
  <c r="G83" i="9"/>
  <c r="G82" i="9" s="1"/>
  <c r="L82" i="9" s="1"/>
  <c r="F83" i="9"/>
  <c r="F82" i="9" s="1"/>
  <c r="E83" i="9"/>
  <c r="E82" i="9"/>
  <c r="L81" i="9"/>
  <c r="I81" i="9"/>
  <c r="L80" i="9"/>
  <c r="K80" i="9"/>
  <c r="I80" i="9"/>
  <c r="L79" i="9"/>
  <c r="K79" i="9"/>
  <c r="I79" i="9"/>
  <c r="L78" i="9"/>
  <c r="I78" i="9"/>
  <c r="G77" i="9"/>
  <c r="F77" i="9"/>
  <c r="E77" i="9"/>
  <c r="L76" i="9"/>
  <c r="I76" i="9"/>
  <c r="L75" i="9"/>
  <c r="I75" i="9"/>
  <c r="L74" i="9"/>
  <c r="I74" i="9"/>
  <c r="L73" i="9"/>
  <c r="I73" i="9"/>
  <c r="L72" i="9"/>
  <c r="I72" i="9"/>
  <c r="L71" i="9"/>
  <c r="I71" i="9"/>
  <c r="L70" i="9"/>
  <c r="I70" i="9"/>
  <c r="L69" i="9"/>
  <c r="I69" i="9"/>
  <c r="L68" i="9"/>
  <c r="I68" i="9"/>
  <c r="I67" i="9"/>
  <c r="G67" i="9"/>
  <c r="L67" i="9" s="1"/>
  <c r="F67" i="9"/>
  <c r="L66" i="9"/>
  <c r="K66" i="9"/>
  <c r="J66" i="9"/>
  <c r="I66" i="9"/>
  <c r="L65" i="9"/>
  <c r="K65" i="9"/>
  <c r="J65" i="9"/>
  <c r="I65" i="9"/>
  <c r="K64" i="9"/>
  <c r="J64" i="9"/>
  <c r="G64" i="9"/>
  <c r="L64" i="9" s="1"/>
  <c r="F64" i="9"/>
  <c r="I64" i="9" s="1"/>
  <c r="L63" i="9"/>
  <c r="I63" i="9"/>
  <c r="L62" i="9"/>
  <c r="K62" i="9"/>
  <c r="J62" i="9"/>
  <c r="I62" i="9"/>
  <c r="G61" i="9"/>
  <c r="J61" i="9" s="1"/>
  <c r="F61" i="9"/>
  <c r="E61" i="9"/>
  <c r="D61" i="9"/>
  <c r="L60" i="9"/>
  <c r="K60" i="9"/>
  <c r="I60" i="9"/>
  <c r="L59" i="9"/>
  <c r="K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I54" i="9"/>
  <c r="L53" i="9"/>
  <c r="I53" i="9"/>
  <c r="L52" i="9"/>
  <c r="K52" i="9"/>
  <c r="I52" i="9"/>
  <c r="L51" i="9"/>
  <c r="K51" i="9"/>
  <c r="I51" i="9"/>
  <c r="G50" i="9"/>
  <c r="J50" i="9" s="1"/>
  <c r="F50" i="9"/>
  <c r="E50" i="9"/>
  <c r="F49" i="9"/>
  <c r="E49" i="9"/>
  <c r="L48" i="9"/>
  <c r="I48" i="9"/>
  <c r="L47" i="9"/>
  <c r="I47" i="9"/>
  <c r="G47" i="9"/>
  <c r="F47" i="9"/>
  <c r="L46" i="9"/>
  <c r="I46" i="9"/>
  <c r="G46" i="9"/>
  <c r="F46" i="9"/>
  <c r="L45" i="9"/>
  <c r="K45" i="9"/>
  <c r="I45" i="9"/>
  <c r="G44" i="9"/>
  <c r="L44" i="9" s="1"/>
  <c r="F44" i="9"/>
  <c r="E44" i="9"/>
  <c r="L43" i="9"/>
  <c r="J43" i="9"/>
  <c r="I43" i="9"/>
  <c r="L42" i="9"/>
  <c r="K42" i="9"/>
  <c r="J42" i="9"/>
  <c r="G42" i="9"/>
  <c r="F42" i="9"/>
  <c r="L41" i="9"/>
  <c r="K41" i="9"/>
  <c r="J41" i="9"/>
  <c r="I41" i="9"/>
  <c r="L40" i="9"/>
  <c r="J40" i="9"/>
  <c r="G40" i="9"/>
  <c r="F39" i="9"/>
  <c r="L38" i="9"/>
  <c r="I38" i="9"/>
  <c r="G38" i="9"/>
  <c r="G37" i="9"/>
  <c r="L37" i="9" s="1"/>
  <c r="L36" i="9"/>
  <c r="K36" i="9"/>
  <c r="J36" i="9"/>
  <c r="I36" i="9"/>
  <c r="K35" i="9"/>
  <c r="J35" i="9"/>
  <c r="I35" i="9"/>
  <c r="L35" i="9"/>
  <c r="G34" i="9"/>
  <c r="I34" i="9" s="1"/>
  <c r="F34" i="9"/>
  <c r="L33" i="9"/>
  <c r="I33" i="9"/>
  <c r="L32" i="9"/>
  <c r="G32" i="9"/>
  <c r="F31" i="9"/>
  <c r="E31" i="9"/>
  <c r="L30" i="9"/>
  <c r="G30" i="9"/>
  <c r="K30" i="9" s="1"/>
  <c r="L29" i="9"/>
  <c r="I29" i="9"/>
  <c r="K29" i="9"/>
  <c r="G28" i="9"/>
  <c r="K28" i="9" s="1"/>
  <c r="K27" i="9"/>
  <c r="L26" i="9"/>
  <c r="G26" i="9"/>
  <c r="K26" i="9" s="1"/>
  <c r="L25" i="9"/>
  <c r="I25" i="9"/>
  <c r="G25" i="9"/>
  <c r="K25" i="9" s="1"/>
  <c r="K23" i="9"/>
  <c r="G22" i="9"/>
  <c r="L22" i="9" s="1"/>
  <c r="K21" i="9"/>
  <c r="L21" i="9"/>
  <c r="K20" i="9"/>
  <c r="I20" i="9"/>
  <c r="G20" i="9"/>
  <c r="L20" i="9" s="1"/>
  <c r="L19" i="9"/>
  <c r="G18" i="9"/>
  <c r="L18" i="9" s="1"/>
  <c r="K17" i="9"/>
  <c r="L17" i="9"/>
  <c r="K16" i="9"/>
  <c r="I16" i="9"/>
  <c r="L16" i="9"/>
  <c r="L15" i="9"/>
  <c r="I15" i="9"/>
  <c r="L14" i="9"/>
  <c r="K14" i="9"/>
  <c r="J14" i="9"/>
  <c r="I14" i="9"/>
  <c r="F13" i="9"/>
  <c r="E13" i="9"/>
  <c r="L12" i="9"/>
  <c r="K12" i="9"/>
  <c r="J12" i="9"/>
  <c r="I12" i="9"/>
  <c r="L11" i="9"/>
  <c r="G10" i="9"/>
  <c r="I10" i="9" s="1"/>
  <c r="L9" i="9"/>
  <c r="J9" i="9"/>
  <c r="L8" i="9"/>
  <c r="K8" i="9"/>
  <c r="H7" i="9"/>
  <c r="F7" i="9"/>
  <c r="E7" i="9"/>
  <c r="E6" i="9" s="1"/>
  <c r="E5" i="9" s="1"/>
  <c r="E121" i="9" s="1"/>
  <c r="D7" i="9"/>
  <c r="F6" i="9"/>
  <c r="H4" i="9"/>
  <c r="F5" i="9" l="1"/>
  <c r="F121" i="9" s="1"/>
  <c r="K96" i="9"/>
  <c r="I96" i="9"/>
  <c r="J96" i="9"/>
  <c r="I61" i="9"/>
  <c r="K61" i="9"/>
  <c r="L50" i="9"/>
  <c r="J11" i="9"/>
  <c r="G7" i="9"/>
  <c r="L7" i="9" s="1"/>
  <c r="I11" i="9"/>
  <c r="J94" i="9"/>
  <c r="I94" i="9"/>
  <c r="G13" i="9"/>
  <c r="G6" i="9" s="1"/>
  <c r="I19" i="9"/>
  <c r="I23" i="9"/>
  <c r="I24" i="9"/>
  <c r="I28" i="9"/>
  <c r="J34" i="9"/>
  <c r="I37" i="9"/>
  <c r="I44" i="9"/>
  <c r="K50" i="9"/>
  <c r="L77" i="9"/>
  <c r="K77" i="9"/>
  <c r="I89" i="9"/>
  <c r="G92" i="9"/>
  <c r="K94" i="9"/>
  <c r="I105" i="9"/>
  <c r="J107" i="9"/>
  <c r="I107" i="9"/>
  <c r="I8" i="9"/>
  <c r="I9" i="9"/>
  <c r="L10" i="9"/>
  <c r="I18" i="9"/>
  <c r="K19" i="9"/>
  <c r="I22" i="9"/>
  <c r="J23" i="9"/>
  <c r="L24" i="9"/>
  <c r="I27" i="9"/>
  <c r="L28" i="9"/>
  <c r="K34" i="9"/>
  <c r="K40" i="9"/>
  <c r="G39" i="9"/>
  <c r="K44" i="9"/>
  <c r="I77" i="9"/>
  <c r="L83" i="9"/>
  <c r="I83" i="9"/>
  <c r="J89" i="9"/>
  <c r="L94" i="9"/>
  <c r="J105" i="9"/>
  <c r="K107" i="9"/>
  <c r="K117" i="9"/>
  <c r="J117" i="9"/>
  <c r="G116" i="9"/>
  <c r="J8" i="9"/>
  <c r="K9" i="9"/>
  <c r="I17" i="9"/>
  <c r="K18" i="9"/>
  <c r="I21" i="9"/>
  <c r="K22" i="9"/>
  <c r="L23" i="9"/>
  <c r="I26" i="9"/>
  <c r="L27" i="9"/>
  <c r="I30" i="9"/>
  <c r="I32" i="9"/>
  <c r="L34" i="9"/>
  <c r="I40" i="9"/>
  <c r="I42" i="9"/>
  <c r="I50" i="9"/>
  <c r="G49" i="9"/>
  <c r="L61" i="9"/>
  <c r="I82" i="9"/>
  <c r="L107" i="9"/>
  <c r="K114" i="9"/>
  <c r="G112" i="9"/>
  <c r="J114" i="9"/>
  <c r="I117" i="9"/>
  <c r="L89" i="9"/>
  <c r="L105" i="9"/>
  <c r="G95" i="9"/>
  <c r="G106" i="8"/>
  <c r="G94" i="8"/>
  <c r="G86" i="8"/>
  <c r="L86" i="8" s="1"/>
  <c r="G85" i="8"/>
  <c r="L85" i="8" s="1"/>
  <c r="G84" i="8"/>
  <c r="I84" i="8" s="1"/>
  <c r="G40" i="8"/>
  <c r="G35" i="8"/>
  <c r="G30" i="8"/>
  <c r="G29" i="8"/>
  <c r="G27" i="8"/>
  <c r="G26" i="8"/>
  <c r="G24" i="8"/>
  <c r="G23" i="8"/>
  <c r="L23" i="8" s="1"/>
  <c r="G21" i="8"/>
  <c r="G20" i="8"/>
  <c r="G19" i="8"/>
  <c r="L19" i="8" s="1"/>
  <c r="G17" i="8"/>
  <c r="G16" i="8"/>
  <c r="G12" i="8"/>
  <c r="I12" i="8" s="1"/>
  <c r="G11" i="8"/>
  <c r="G9" i="8"/>
  <c r="L9" i="8" s="1"/>
  <c r="G8" i="8"/>
  <c r="L120" i="8"/>
  <c r="K120" i="8"/>
  <c r="J120" i="8"/>
  <c r="I120" i="8"/>
  <c r="L119" i="8"/>
  <c r="K119" i="8"/>
  <c r="J119" i="8"/>
  <c r="I119" i="8"/>
  <c r="L118" i="8"/>
  <c r="K118" i="8"/>
  <c r="J118" i="8"/>
  <c r="I118" i="8"/>
  <c r="G117" i="8"/>
  <c r="F117" i="8"/>
  <c r="F116" i="8" s="1"/>
  <c r="L115" i="8"/>
  <c r="K115" i="8"/>
  <c r="J115" i="8"/>
  <c r="I115" i="8"/>
  <c r="L114" i="8"/>
  <c r="G114" i="8"/>
  <c r="K114" i="8" s="1"/>
  <c r="F114" i="8"/>
  <c r="F112" i="8" s="1"/>
  <c r="L113" i="8"/>
  <c r="K113" i="8"/>
  <c r="I113" i="8"/>
  <c r="G112" i="8"/>
  <c r="L111" i="8"/>
  <c r="K111" i="8"/>
  <c r="J111" i="8"/>
  <c r="I111" i="8"/>
  <c r="L110" i="8"/>
  <c r="I110" i="8"/>
  <c r="L109" i="8"/>
  <c r="I109" i="8"/>
  <c r="L108" i="8"/>
  <c r="K108" i="8"/>
  <c r="J108" i="8"/>
  <c r="I108" i="8"/>
  <c r="G107" i="8"/>
  <c r="K107" i="8" s="1"/>
  <c r="F107" i="8"/>
  <c r="F105" i="8"/>
  <c r="L104" i="8"/>
  <c r="I104" i="8"/>
  <c r="L103" i="8"/>
  <c r="K103" i="8"/>
  <c r="J103" i="8"/>
  <c r="I103" i="8"/>
  <c r="L102" i="8"/>
  <c r="K102" i="8"/>
  <c r="J102" i="8"/>
  <c r="I102" i="8"/>
  <c r="L101" i="8"/>
  <c r="K101" i="8"/>
  <c r="J101" i="8"/>
  <c r="I101" i="8"/>
  <c r="L100" i="8"/>
  <c r="K100" i="8"/>
  <c r="J100" i="8"/>
  <c r="I100" i="8"/>
  <c r="L99" i="8"/>
  <c r="K99" i="8"/>
  <c r="J99" i="8"/>
  <c r="I99" i="8"/>
  <c r="L98" i="8"/>
  <c r="K98" i="8"/>
  <c r="J98" i="8"/>
  <c r="I98" i="8"/>
  <c r="L97" i="8"/>
  <c r="K97" i="8"/>
  <c r="I97" i="8"/>
  <c r="G96" i="8"/>
  <c r="L96" i="8" s="1"/>
  <c r="F96" i="8"/>
  <c r="E96" i="8"/>
  <c r="D96" i="8"/>
  <c r="K94" i="8"/>
  <c r="J94" i="8"/>
  <c r="I94" i="8"/>
  <c r="L93" i="8"/>
  <c r="K93" i="8"/>
  <c r="J93" i="8"/>
  <c r="I93" i="8"/>
  <c r="G92" i="8"/>
  <c r="L92" i="8" s="1"/>
  <c r="F92" i="8"/>
  <c r="E92" i="8"/>
  <c r="D92" i="8"/>
  <c r="L91" i="8"/>
  <c r="I91" i="8"/>
  <c r="L90" i="8"/>
  <c r="K90" i="8"/>
  <c r="J90" i="8"/>
  <c r="I90" i="8"/>
  <c r="G89" i="8"/>
  <c r="L89" i="8" s="1"/>
  <c r="F89" i="8"/>
  <c r="I86" i="8"/>
  <c r="F83" i="8"/>
  <c r="F82" i="8" s="1"/>
  <c r="E83" i="8"/>
  <c r="E82" i="8" s="1"/>
  <c r="L81" i="8"/>
  <c r="I81" i="8"/>
  <c r="L80" i="8"/>
  <c r="K80" i="8"/>
  <c r="I80" i="8"/>
  <c r="L79" i="8"/>
  <c r="K79" i="8"/>
  <c r="I79" i="8"/>
  <c r="L78" i="8"/>
  <c r="I78" i="8"/>
  <c r="G77" i="8"/>
  <c r="K77" i="8" s="1"/>
  <c r="F77" i="8"/>
  <c r="E77" i="8"/>
  <c r="L76" i="8"/>
  <c r="I76" i="8"/>
  <c r="L75" i="8"/>
  <c r="I75" i="8"/>
  <c r="L74" i="8"/>
  <c r="I74" i="8"/>
  <c r="L73" i="8"/>
  <c r="I73" i="8"/>
  <c r="L72" i="8"/>
  <c r="I72" i="8"/>
  <c r="L71" i="8"/>
  <c r="I71" i="8"/>
  <c r="L70" i="8"/>
  <c r="I70" i="8"/>
  <c r="L69" i="8"/>
  <c r="I69" i="8"/>
  <c r="L68" i="8"/>
  <c r="I68" i="8"/>
  <c r="G67" i="8"/>
  <c r="F67" i="8"/>
  <c r="L66" i="8"/>
  <c r="K66" i="8"/>
  <c r="J66" i="8"/>
  <c r="I66" i="8"/>
  <c r="L65" i="8"/>
  <c r="K65" i="8"/>
  <c r="J65" i="8"/>
  <c r="I65" i="8"/>
  <c r="G64" i="8"/>
  <c r="F64" i="8"/>
  <c r="L63" i="8"/>
  <c r="I63" i="8"/>
  <c r="L62" i="8"/>
  <c r="K62" i="8"/>
  <c r="J62" i="8"/>
  <c r="I62" i="8"/>
  <c r="L61" i="8"/>
  <c r="G61" i="8"/>
  <c r="K61" i="8" s="1"/>
  <c r="F61" i="8"/>
  <c r="E61" i="8"/>
  <c r="D61" i="8"/>
  <c r="L60" i="8"/>
  <c r="K60" i="8"/>
  <c r="I60" i="8"/>
  <c r="L59" i="8"/>
  <c r="K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I54" i="8"/>
  <c r="L53" i="8"/>
  <c r="I53" i="8"/>
  <c r="L52" i="8"/>
  <c r="K52" i="8"/>
  <c r="I52" i="8"/>
  <c r="L51" i="8"/>
  <c r="K51" i="8"/>
  <c r="I51" i="8"/>
  <c r="G50" i="8"/>
  <c r="L50" i="8" s="1"/>
  <c r="F50" i="8"/>
  <c r="E50" i="8"/>
  <c r="E49" i="8"/>
  <c r="L48" i="8"/>
  <c r="I48" i="8"/>
  <c r="G47" i="8"/>
  <c r="L47" i="8" s="1"/>
  <c r="F47" i="8"/>
  <c r="I46" i="8"/>
  <c r="G46" i="8"/>
  <c r="L46" i="8" s="1"/>
  <c r="F46" i="8"/>
  <c r="L45" i="8"/>
  <c r="K45" i="8"/>
  <c r="I45" i="8"/>
  <c r="G44" i="8"/>
  <c r="I44" i="8" s="1"/>
  <c r="F44" i="8"/>
  <c r="E44" i="8"/>
  <c r="L43" i="8"/>
  <c r="J43" i="8"/>
  <c r="I43" i="8"/>
  <c r="K42" i="8"/>
  <c r="J42" i="8"/>
  <c r="I42" i="8"/>
  <c r="G42" i="8"/>
  <c r="L42" i="8" s="1"/>
  <c r="F42" i="8"/>
  <c r="L41" i="8"/>
  <c r="K41" i="8"/>
  <c r="J41" i="8"/>
  <c r="I41" i="8"/>
  <c r="L40" i="8"/>
  <c r="K40" i="8"/>
  <c r="J40" i="8"/>
  <c r="G39" i="8"/>
  <c r="K39" i="8" s="1"/>
  <c r="F39" i="8"/>
  <c r="L38" i="8"/>
  <c r="G38" i="8"/>
  <c r="I38" i="8" s="1"/>
  <c r="G37" i="8"/>
  <c r="L37" i="8" s="1"/>
  <c r="L36" i="8"/>
  <c r="K36" i="8"/>
  <c r="J36" i="8"/>
  <c r="I36" i="8"/>
  <c r="F34" i="8"/>
  <c r="F31" i="8" s="1"/>
  <c r="L33" i="8"/>
  <c r="I33" i="8"/>
  <c r="G32" i="8"/>
  <c r="L32" i="8" s="1"/>
  <c r="E31" i="8"/>
  <c r="L28" i="8"/>
  <c r="G28" i="8"/>
  <c r="I28" i="8" s="1"/>
  <c r="L27" i="8"/>
  <c r="K27" i="8"/>
  <c r="I27" i="8"/>
  <c r="G25" i="8"/>
  <c r="L24" i="8"/>
  <c r="I24" i="8"/>
  <c r="J23" i="8"/>
  <c r="L22" i="8"/>
  <c r="I22" i="8"/>
  <c r="G22" i="8"/>
  <c r="K22" i="8" s="1"/>
  <c r="K19" i="8"/>
  <c r="L18" i="8"/>
  <c r="I18" i="8"/>
  <c r="G18" i="8"/>
  <c r="K18" i="8" s="1"/>
  <c r="L15" i="8"/>
  <c r="I15" i="8"/>
  <c r="L14" i="8"/>
  <c r="K14" i="8"/>
  <c r="J14" i="8"/>
  <c r="I14" i="8"/>
  <c r="F13" i="8"/>
  <c r="E13" i="8"/>
  <c r="J12" i="8"/>
  <c r="L10" i="8"/>
  <c r="I10" i="8"/>
  <c r="G10" i="8"/>
  <c r="L8" i="8"/>
  <c r="K8" i="8"/>
  <c r="H7" i="8"/>
  <c r="F7" i="8"/>
  <c r="F6" i="8" s="1"/>
  <c r="E7" i="8"/>
  <c r="E6" i="8" s="1"/>
  <c r="D7" i="8"/>
  <c r="E5" i="8"/>
  <c r="E121" i="8" s="1"/>
  <c r="H4" i="8"/>
  <c r="J7" i="9" l="1"/>
  <c r="I7" i="9"/>
  <c r="K7" i="9"/>
  <c r="L49" i="9"/>
  <c r="J49" i="9"/>
  <c r="I49" i="9"/>
  <c r="K49" i="9"/>
  <c r="L39" i="9"/>
  <c r="I39" i="9"/>
  <c r="K39" i="9"/>
  <c r="J39" i="9"/>
  <c r="I6" i="9"/>
  <c r="K6" i="9"/>
  <c r="J6" i="9"/>
  <c r="L6" i="9"/>
  <c r="I116" i="9"/>
  <c r="L116" i="9"/>
  <c r="J116" i="9"/>
  <c r="K116" i="9"/>
  <c r="L95" i="9"/>
  <c r="K95" i="9"/>
  <c r="I95" i="9"/>
  <c r="J95" i="9"/>
  <c r="L112" i="9"/>
  <c r="K112" i="9"/>
  <c r="J112" i="9"/>
  <c r="I112" i="9"/>
  <c r="G31" i="9"/>
  <c r="K92" i="9"/>
  <c r="J92" i="9"/>
  <c r="L92" i="9"/>
  <c r="I92" i="9"/>
  <c r="G88" i="9"/>
  <c r="J13" i="9"/>
  <c r="K13" i="9"/>
  <c r="I13" i="9"/>
  <c r="L13" i="9"/>
  <c r="J107" i="8"/>
  <c r="K89" i="8"/>
  <c r="G88" i="8"/>
  <c r="G83" i="8"/>
  <c r="G82" i="8" s="1"/>
  <c r="L82" i="8" s="1"/>
  <c r="L84" i="8"/>
  <c r="I77" i="8"/>
  <c r="L77" i="8"/>
  <c r="K50" i="8"/>
  <c r="J39" i="8"/>
  <c r="L39" i="8"/>
  <c r="K23" i="8"/>
  <c r="K12" i="8"/>
  <c r="L12" i="8"/>
  <c r="I9" i="8"/>
  <c r="K9" i="8"/>
  <c r="I25" i="8"/>
  <c r="L25" i="8"/>
  <c r="K25" i="8"/>
  <c r="I29" i="8"/>
  <c r="L29" i="8"/>
  <c r="K29" i="8"/>
  <c r="K35" i="8"/>
  <c r="G34" i="8"/>
  <c r="L35" i="8"/>
  <c r="J35" i="8"/>
  <c r="I11" i="8"/>
  <c r="K11" i="8"/>
  <c r="J11" i="8"/>
  <c r="K16" i="8"/>
  <c r="L16" i="8"/>
  <c r="I16" i="8"/>
  <c r="K20" i="8"/>
  <c r="L20" i="8"/>
  <c r="I20" i="8"/>
  <c r="I26" i="8"/>
  <c r="L26" i="8"/>
  <c r="I30" i="8"/>
  <c r="L30" i="8"/>
  <c r="I35" i="8"/>
  <c r="K112" i="8"/>
  <c r="J112" i="8"/>
  <c r="L112" i="8"/>
  <c r="I112" i="8"/>
  <c r="L11" i="8"/>
  <c r="K17" i="8"/>
  <c r="L17" i="8"/>
  <c r="K21" i="8"/>
  <c r="L21" i="8"/>
  <c r="K26" i="8"/>
  <c r="K30" i="8"/>
  <c r="F49" i="8"/>
  <c r="F5" i="8" s="1"/>
  <c r="J50" i="8"/>
  <c r="I50" i="8"/>
  <c r="K64" i="8"/>
  <c r="L64" i="8"/>
  <c r="G49" i="8"/>
  <c r="J64" i="8"/>
  <c r="I64" i="8"/>
  <c r="L88" i="8"/>
  <c r="K88" i="8"/>
  <c r="I17" i="8"/>
  <c r="I21" i="8"/>
  <c r="I32" i="8"/>
  <c r="I37" i="8"/>
  <c r="K44" i="8"/>
  <c r="L44" i="8"/>
  <c r="J89" i="8"/>
  <c r="F88" i="8"/>
  <c r="I89" i="8"/>
  <c r="I67" i="8"/>
  <c r="K106" i="8"/>
  <c r="G105" i="8"/>
  <c r="J106" i="8"/>
  <c r="I107" i="8"/>
  <c r="J117" i="8"/>
  <c r="G116" i="8"/>
  <c r="I117" i="8"/>
  <c r="J8" i="8"/>
  <c r="G7" i="8"/>
  <c r="I61" i="8"/>
  <c r="L67" i="8"/>
  <c r="L83" i="8"/>
  <c r="I85" i="8"/>
  <c r="J92" i="8"/>
  <c r="I92" i="8"/>
  <c r="K96" i="8"/>
  <c r="J96" i="8"/>
  <c r="F95" i="8"/>
  <c r="I106" i="8"/>
  <c r="K117" i="8"/>
  <c r="I8" i="8"/>
  <c r="J9" i="8"/>
  <c r="G13" i="8"/>
  <c r="I19" i="8"/>
  <c r="I23" i="8"/>
  <c r="K24" i="8"/>
  <c r="K28" i="8"/>
  <c r="I39" i="8"/>
  <c r="I40" i="8"/>
  <c r="I47" i="8"/>
  <c r="J61" i="8"/>
  <c r="K92" i="8"/>
  <c r="I96" i="8"/>
  <c r="L106" i="8"/>
  <c r="J114" i="8"/>
  <c r="I114" i="8"/>
  <c r="L117" i="8"/>
  <c r="L94" i="8"/>
  <c r="L107" i="8"/>
  <c r="G106" i="7"/>
  <c r="G94" i="7"/>
  <c r="G86" i="7"/>
  <c r="G84" i="7"/>
  <c r="I84" i="7" s="1"/>
  <c r="G40" i="7"/>
  <c r="G35" i="7"/>
  <c r="J35" i="7" s="1"/>
  <c r="G30" i="7"/>
  <c r="G29" i="7"/>
  <c r="I29" i="7" s="1"/>
  <c r="G27" i="7"/>
  <c r="G26" i="7"/>
  <c r="G25" i="7"/>
  <c r="I25" i="7" s="1"/>
  <c r="G24" i="7"/>
  <c r="K24" i="7" s="1"/>
  <c r="G23" i="7"/>
  <c r="K23" i="7" s="1"/>
  <c r="G22" i="7"/>
  <c r="G21" i="7"/>
  <c r="K21" i="7" s="1"/>
  <c r="G20" i="7"/>
  <c r="L20" i="7" s="1"/>
  <c r="G19" i="7"/>
  <c r="G17" i="7"/>
  <c r="K17" i="7"/>
  <c r="G16" i="7"/>
  <c r="G12" i="7"/>
  <c r="G11" i="7"/>
  <c r="I11" i="7" s="1"/>
  <c r="G9" i="7"/>
  <c r="G7" i="7" s="1"/>
  <c r="L7" i="7" s="1"/>
  <c r="G8" i="7"/>
  <c r="L8" i="7" s="1"/>
  <c r="L120" i="7"/>
  <c r="K120" i="7"/>
  <c r="J120" i="7"/>
  <c r="I120" i="7"/>
  <c r="L119" i="7"/>
  <c r="K119" i="7"/>
  <c r="J119" i="7"/>
  <c r="I119" i="7"/>
  <c r="L118" i="7"/>
  <c r="K118" i="7"/>
  <c r="J118" i="7"/>
  <c r="I118" i="7"/>
  <c r="L117" i="7"/>
  <c r="G117" i="7"/>
  <c r="F117" i="7"/>
  <c r="F116" i="7"/>
  <c r="L115" i="7"/>
  <c r="K115" i="7"/>
  <c r="J115" i="7"/>
  <c r="I115" i="7"/>
  <c r="G114" i="7"/>
  <c r="L114" i="7" s="1"/>
  <c r="F114" i="7"/>
  <c r="L113" i="7"/>
  <c r="K113" i="7"/>
  <c r="I113" i="7"/>
  <c r="F112" i="7"/>
  <c r="L111" i="7"/>
  <c r="K111" i="7"/>
  <c r="J111" i="7"/>
  <c r="I111" i="7"/>
  <c r="L110" i="7"/>
  <c r="I110" i="7"/>
  <c r="L109" i="7"/>
  <c r="I109" i="7"/>
  <c r="L108" i="7"/>
  <c r="K108" i="7"/>
  <c r="J108" i="7"/>
  <c r="I108" i="7"/>
  <c r="G107" i="7"/>
  <c r="F107" i="7"/>
  <c r="K106" i="7"/>
  <c r="J106" i="7"/>
  <c r="I106" i="7"/>
  <c r="L106" i="7"/>
  <c r="G105" i="7"/>
  <c r="K105" i="7" s="1"/>
  <c r="F105" i="7"/>
  <c r="F95" i="7" s="1"/>
  <c r="L104" i="7"/>
  <c r="I104" i="7"/>
  <c r="L103" i="7"/>
  <c r="K103" i="7"/>
  <c r="J103" i="7"/>
  <c r="I103" i="7"/>
  <c r="L102" i="7"/>
  <c r="K102" i="7"/>
  <c r="J102" i="7"/>
  <c r="I102" i="7"/>
  <c r="L101" i="7"/>
  <c r="K101" i="7"/>
  <c r="J101" i="7"/>
  <c r="I101" i="7"/>
  <c r="L100" i="7"/>
  <c r="K100" i="7"/>
  <c r="J100" i="7"/>
  <c r="I100" i="7"/>
  <c r="L99" i="7"/>
  <c r="K99" i="7"/>
  <c r="J99" i="7"/>
  <c r="I99" i="7"/>
  <c r="L98" i="7"/>
  <c r="K98" i="7"/>
  <c r="J98" i="7"/>
  <c r="I98" i="7"/>
  <c r="L97" i="7"/>
  <c r="K97" i="7"/>
  <c r="I97" i="7"/>
  <c r="G96" i="7"/>
  <c r="L96" i="7" s="1"/>
  <c r="F96" i="7"/>
  <c r="E96" i="7"/>
  <c r="D96" i="7"/>
  <c r="L93" i="7"/>
  <c r="K93" i="7"/>
  <c r="J93" i="7"/>
  <c r="I93" i="7"/>
  <c r="F92" i="7"/>
  <c r="E92" i="7"/>
  <c r="D92" i="7"/>
  <c r="L91" i="7"/>
  <c r="I91" i="7"/>
  <c r="L90" i="7"/>
  <c r="K90" i="7"/>
  <c r="J90" i="7"/>
  <c r="I90" i="7"/>
  <c r="G89" i="7"/>
  <c r="K89" i="7" s="1"/>
  <c r="F89" i="7"/>
  <c r="F88" i="7" s="1"/>
  <c r="F87" i="7" s="1"/>
  <c r="L86" i="7"/>
  <c r="I86" i="7"/>
  <c r="L85" i="7"/>
  <c r="I85" i="7"/>
  <c r="G85" i="7"/>
  <c r="L84" i="7"/>
  <c r="G83" i="7"/>
  <c r="G82" i="7" s="1"/>
  <c r="L82" i="7" s="1"/>
  <c r="F83" i="7"/>
  <c r="F82" i="7" s="1"/>
  <c r="E83" i="7"/>
  <c r="E82" i="7"/>
  <c r="L81" i="7"/>
  <c r="I81" i="7"/>
  <c r="L80" i="7"/>
  <c r="K80" i="7"/>
  <c r="I80" i="7"/>
  <c r="L79" i="7"/>
  <c r="K79" i="7"/>
  <c r="I79" i="7"/>
  <c r="L78" i="7"/>
  <c r="I78" i="7"/>
  <c r="G77" i="7"/>
  <c r="F77" i="7"/>
  <c r="E77" i="7"/>
  <c r="L76" i="7"/>
  <c r="I76" i="7"/>
  <c r="L75" i="7"/>
  <c r="I75" i="7"/>
  <c r="L74" i="7"/>
  <c r="I74" i="7"/>
  <c r="L73" i="7"/>
  <c r="I73" i="7"/>
  <c r="L72" i="7"/>
  <c r="I72" i="7"/>
  <c r="L71" i="7"/>
  <c r="I71" i="7"/>
  <c r="L70" i="7"/>
  <c r="I70" i="7"/>
  <c r="L69" i="7"/>
  <c r="I69" i="7"/>
  <c r="L68" i="7"/>
  <c r="I68" i="7"/>
  <c r="G67" i="7"/>
  <c r="L67" i="7" s="1"/>
  <c r="F67" i="7"/>
  <c r="L66" i="7"/>
  <c r="K66" i="7"/>
  <c r="J66" i="7"/>
  <c r="I66" i="7"/>
  <c r="L65" i="7"/>
  <c r="K65" i="7"/>
  <c r="J65" i="7"/>
  <c r="I65" i="7"/>
  <c r="G64" i="7"/>
  <c r="L64" i="7" s="1"/>
  <c r="F64" i="7"/>
  <c r="L63" i="7"/>
  <c r="I63" i="7"/>
  <c r="L62" i="7"/>
  <c r="K62" i="7"/>
  <c r="J62" i="7"/>
  <c r="I62" i="7"/>
  <c r="J61" i="7"/>
  <c r="I61" i="7"/>
  <c r="G61" i="7"/>
  <c r="F61" i="7"/>
  <c r="E61" i="7"/>
  <c r="K61" i="7" s="1"/>
  <c r="D61" i="7"/>
  <c r="L60" i="7"/>
  <c r="K60" i="7"/>
  <c r="I60" i="7"/>
  <c r="L59" i="7"/>
  <c r="K59" i="7"/>
  <c r="I59" i="7"/>
  <c r="L58" i="7"/>
  <c r="K58" i="7"/>
  <c r="J58" i="7"/>
  <c r="I58" i="7"/>
  <c r="L57" i="7"/>
  <c r="K57" i="7"/>
  <c r="J57" i="7"/>
  <c r="I57" i="7"/>
  <c r="L56" i="7"/>
  <c r="K56" i="7"/>
  <c r="J56" i="7"/>
  <c r="I56" i="7"/>
  <c r="L55" i="7"/>
  <c r="K55" i="7"/>
  <c r="J55" i="7"/>
  <c r="I55" i="7"/>
  <c r="L54" i="7"/>
  <c r="K54" i="7"/>
  <c r="I54" i="7"/>
  <c r="L53" i="7"/>
  <c r="I53" i="7"/>
  <c r="L52" i="7"/>
  <c r="K52" i="7"/>
  <c r="I52" i="7"/>
  <c r="L51" i="7"/>
  <c r="K51" i="7"/>
  <c r="I51" i="7"/>
  <c r="G50" i="7"/>
  <c r="J50" i="7" s="1"/>
  <c r="F50" i="7"/>
  <c r="E50" i="7"/>
  <c r="F49" i="7"/>
  <c r="E49" i="7"/>
  <c r="L48" i="7"/>
  <c r="I48" i="7"/>
  <c r="L47" i="7"/>
  <c r="I47" i="7"/>
  <c r="G47" i="7"/>
  <c r="F47" i="7"/>
  <c r="L46" i="7"/>
  <c r="I46" i="7"/>
  <c r="G46" i="7"/>
  <c r="F46" i="7"/>
  <c r="L45" i="7"/>
  <c r="K45" i="7"/>
  <c r="I45" i="7"/>
  <c r="G44" i="7"/>
  <c r="L44" i="7" s="1"/>
  <c r="F44" i="7"/>
  <c r="E44" i="7"/>
  <c r="L43" i="7"/>
  <c r="J43" i="7"/>
  <c r="I43" i="7"/>
  <c r="L42" i="7"/>
  <c r="K42" i="7"/>
  <c r="J42" i="7"/>
  <c r="G42" i="7"/>
  <c r="F42" i="7"/>
  <c r="L41" i="7"/>
  <c r="K41" i="7"/>
  <c r="J41" i="7"/>
  <c r="I41" i="7"/>
  <c r="L40" i="7"/>
  <c r="J40" i="7"/>
  <c r="F39" i="7"/>
  <c r="L38" i="7"/>
  <c r="I38" i="7"/>
  <c r="G38" i="7"/>
  <c r="G37" i="7"/>
  <c r="L37" i="7" s="1"/>
  <c r="L36" i="7"/>
  <c r="K36" i="7"/>
  <c r="J36" i="7"/>
  <c r="I36" i="7"/>
  <c r="K35" i="7"/>
  <c r="L35" i="7"/>
  <c r="G34" i="7"/>
  <c r="I34" i="7" s="1"/>
  <c r="F34" i="7"/>
  <c r="L33" i="7"/>
  <c r="I33" i="7"/>
  <c r="G32" i="7"/>
  <c r="L32" i="7" s="1"/>
  <c r="F31" i="7"/>
  <c r="E31" i="7"/>
  <c r="L30" i="7"/>
  <c r="K30" i="7"/>
  <c r="L29" i="7"/>
  <c r="G28" i="7"/>
  <c r="K28" i="7" s="1"/>
  <c r="K27" i="7"/>
  <c r="L26" i="7"/>
  <c r="K26" i="7"/>
  <c r="L25" i="7"/>
  <c r="L22" i="7"/>
  <c r="L21" i="7"/>
  <c r="K20" i="7"/>
  <c r="I20" i="7"/>
  <c r="L19" i="7"/>
  <c r="G18" i="7"/>
  <c r="L18" i="7" s="1"/>
  <c r="K16" i="7"/>
  <c r="I16" i="7"/>
  <c r="L16" i="7"/>
  <c r="L15" i="7"/>
  <c r="I15" i="7"/>
  <c r="L14" i="7"/>
  <c r="K14" i="7"/>
  <c r="J14" i="7"/>
  <c r="I14" i="7"/>
  <c r="F13" i="7"/>
  <c r="E13" i="7"/>
  <c r="L12" i="7"/>
  <c r="K12" i="7"/>
  <c r="J12" i="7"/>
  <c r="I12" i="7"/>
  <c r="L11" i="7"/>
  <c r="K11" i="7"/>
  <c r="G10" i="7"/>
  <c r="I10" i="7" s="1"/>
  <c r="L9" i="7"/>
  <c r="J9" i="7"/>
  <c r="H7" i="7"/>
  <c r="F7" i="7"/>
  <c r="E7" i="7"/>
  <c r="E6" i="7" s="1"/>
  <c r="E5" i="7" s="1"/>
  <c r="E121" i="7" s="1"/>
  <c r="D7" i="7"/>
  <c r="F6" i="7"/>
  <c r="F5" i="7" s="1"/>
  <c r="F121" i="7" s="1"/>
  <c r="H4" i="7"/>
  <c r="K88" i="9" l="1"/>
  <c r="J88" i="9"/>
  <c r="G87" i="9"/>
  <c r="L88" i="9"/>
  <c r="I88" i="9"/>
  <c r="L31" i="9"/>
  <c r="I31" i="9"/>
  <c r="K31" i="9"/>
  <c r="J31" i="9"/>
  <c r="G5" i="9"/>
  <c r="I82" i="8"/>
  <c r="I83" i="8"/>
  <c r="I13" i="8"/>
  <c r="L13" i="8"/>
  <c r="K13" i="8"/>
  <c r="J13" i="8"/>
  <c r="L116" i="8"/>
  <c r="K116" i="8"/>
  <c r="J116" i="8"/>
  <c r="I116" i="8"/>
  <c r="L105" i="8"/>
  <c r="K105" i="8"/>
  <c r="I105" i="8"/>
  <c r="J105" i="8"/>
  <c r="G95" i="8"/>
  <c r="K49" i="8"/>
  <c r="L49" i="8"/>
  <c r="J49" i="8"/>
  <c r="I49" i="8"/>
  <c r="K7" i="8"/>
  <c r="G6" i="8"/>
  <c r="I7" i="8"/>
  <c r="L7" i="8"/>
  <c r="J7" i="8"/>
  <c r="F87" i="8"/>
  <c r="F121" i="8" s="1"/>
  <c r="I88" i="8"/>
  <c r="J88" i="8"/>
  <c r="L34" i="8"/>
  <c r="K34" i="8"/>
  <c r="J34" i="8"/>
  <c r="I34" i="8"/>
  <c r="G31" i="8"/>
  <c r="I114" i="7"/>
  <c r="J96" i="7"/>
  <c r="K96" i="7"/>
  <c r="I96" i="7"/>
  <c r="I67" i="7"/>
  <c r="K64" i="7"/>
  <c r="I64" i="7"/>
  <c r="J64" i="7"/>
  <c r="L50" i="7"/>
  <c r="I35" i="7"/>
  <c r="K29" i="7"/>
  <c r="K25" i="7"/>
  <c r="L17" i="7"/>
  <c r="J11" i="7"/>
  <c r="K8" i="7"/>
  <c r="K7" i="7"/>
  <c r="J94" i="7"/>
  <c r="I94" i="7"/>
  <c r="G13" i="7"/>
  <c r="G6" i="7" s="1"/>
  <c r="I19" i="7"/>
  <c r="I23" i="7"/>
  <c r="I24" i="7"/>
  <c r="I28" i="7"/>
  <c r="J34" i="7"/>
  <c r="I37" i="7"/>
  <c r="I44" i="7"/>
  <c r="K50" i="7"/>
  <c r="L77" i="7"/>
  <c r="K77" i="7"/>
  <c r="I89" i="7"/>
  <c r="G92" i="7"/>
  <c r="K94" i="7"/>
  <c r="I105" i="7"/>
  <c r="J107" i="7"/>
  <c r="I107" i="7"/>
  <c r="I7" i="7"/>
  <c r="I8" i="7"/>
  <c r="I9" i="7"/>
  <c r="L10" i="7"/>
  <c r="I18" i="7"/>
  <c r="K19" i="7"/>
  <c r="I22" i="7"/>
  <c r="J23" i="7"/>
  <c r="L24" i="7"/>
  <c r="I27" i="7"/>
  <c r="L28" i="7"/>
  <c r="K34" i="7"/>
  <c r="K40" i="7"/>
  <c r="G39" i="7"/>
  <c r="K44" i="7"/>
  <c r="I77" i="7"/>
  <c r="L83" i="7"/>
  <c r="I83" i="7"/>
  <c r="J89" i="7"/>
  <c r="L94" i="7"/>
  <c r="J105" i="7"/>
  <c r="K107" i="7"/>
  <c r="K117" i="7"/>
  <c r="J117" i="7"/>
  <c r="G116" i="7"/>
  <c r="J7" i="7"/>
  <c r="J8" i="7"/>
  <c r="K9" i="7"/>
  <c r="I17" i="7"/>
  <c r="K18" i="7"/>
  <c r="I21" i="7"/>
  <c r="K22" i="7"/>
  <c r="L23" i="7"/>
  <c r="I26" i="7"/>
  <c r="L27" i="7"/>
  <c r="I30" i="7"/>
  <c r="I32" i="7"/>
  <c r="L34" i="7"/>
  <c r="I40" i="7"/>
  <c r="I42" i="7"/>
  <c r="I50" i="7"/>
  <c r="G49" i="7"/>
  <c r="L61" i="7"/>
  <c r="I82" i="7"/>
  <c r="L107" i="7"/>
  <c r="K114" i="7"/>
  <c r="G112" i="7"/>
  <c r="J114" i="7"/>
  <c r="I117" i="7"/>
  <c r="L89" i="7"/>
  <c r="L105" i="7"/>
  <c r="G95" i="7"/>
  <c r="G106" i="6"/>
  <c r="G94" i="6"/>
  <c r="K94" i="6" s="1"/>
  <c r="G86" i="6"/>
  <c r="G84" i="6"/>
  <c r="G40" i="6"/>
  <c r="K40" i="6" s="1"/>
  <c r="G35" i="6"/>
  <c r="G30" i="6"/>
  <c r="G29" i="6"/>
  <c r="L29" i="6" s="1"/>
  <c r="G27" i="6"/>
  <c r="G26" i="6"/>
  <c r="G25" i="6"/>
  <c r="G24" i="6"/>
  <c r="G23" i="6"/>
  <c r="G22" i="6"/>
  <c r="G21" i="6"/>
  <c r="G20" i="6"/>
  <c r="K20" i="6" s="1"/>
  <c r="G19" i="6"/>
  <c r="G17" i="6"/>
  <c r="G16" i="6"/>
  <c r="K16" i="6" s="1"/>
  <c r="G11" i="6"/>
  <c r="G9" i="6"/>
  <c r="I9" i="6" s="1"/>
  <c r="G8" i="6"/>
  <c r="L8" i="6" s="1"/>
  <c r="L120" i="6"/>
  <c r="K120" i="6"/>
  <c r="J120" i="6"/>
  <c r="I120" i="6"/>
  <c r="L119" i="6"/>
  <c r="K119" i="6"/>
  <c r="J119" i="6"/>
  <c r="I119" i="6"/>
  <c r="L118" i="6"/>
  <c r="K118" i="6"/>
  <c r="J118" i="6"/>
  <c r="I118" i="6"/>
  <c r="L117" i="6"/>
  <c r="G117" i="6"/>
  <c r="F117" i="6"/>
  <c r="F116" i="6" s="1"/>
  <c r="L115" i="6"/>
  <c r="K115" i="6"/>
  <c r="J115" i="6"/>
  <c r="I115" i="6"/>
  <c r="G114" i="6"/>
  <c r="F114" i="6"/>
  <c r="F112" i="6" s="1"/>
  <c r="L113" i="6"/>
  <c r="K113" i="6"/>
  <c r="I113" i="6"/>
  <c r="L111" i="6"/>
  <c r="K111" i="6"/>
  <c r="J111" i="6"/>
  <c r="I111" i="6"/>
  <c r="L110" i="6"/>
  <c r="I110" i="6"/>
  <c r="L109" i="6"/>
  <c r="I109" i="6"/>
  <c r="L108" i="6"/>
  <c r="K108" i="6"/>
  <c r="J108" i="6"/>
  <c r="I108" i="6"/>
  <c r="G107" i="6"/>
  <c r="K107" i="6" s="1"/>
  <c r="F107" i="6"/>
  <c r="L106" i="6"/>
  <c r="F105" i="6"/>
  <c r="L104" i="6"/>
  <c r="I104" i="6"/>
  <c r="L103" i="6"/>
  <c r="K103" i="6"/>
  <c r="J103" i="6"/>
  <c r="I103" i="6"/>
  <c r="L102" i="6"/>
  <c r="K102" i="6"/>
  <c r="J102" i="6"/>
  <c r="I102" i="6"/>
  <c r="L101" i="6"/>
  <c r="K101" i="6"/>
  <c r="J101" i="6"/>
  <c r="I101" i="6"/>
  <c r="L100" i="6"/>
  <c r="K100" i="6"/>
  <c r="J100" i="6"/>
  <c r="I100" i="6"/>
  <c r="L99" i="6"/>
  <c r="K99" i="6"/>
  <c r="J99" i="6"/>
  <c r="I99" i="6"/>
  <c r="L98" i="6"/>
  <c r="K98" i="6"/>
  <c r="J98" i="6"/>
  <c r="I98" i="6"/>
  <c r="L97" i="6"/>
  <c r="K97" i="6"/>
  <c r="I97" i="6"/>
  <c r="L96" i="6"/>
  <c r="G96" i="6"/>
  <c r="I96" i="6" s="1"/>
  <c r="F96" i="6"/>
  <c r="E96" i="6"/>
  <c r="D96" i="6"/>
  <c r="I94" i="6"/>
  <c r="L93" i="6"/>
  <c r="K93" i="6"/>
  <c r="J93" i="6"/>
  <c r="I93" i="6"/>
  <c r="F92" i="6"/>
  <c r="E92" i="6"/>
  <c r="D92" i="6"/>
  <c r="L91" i="6"/>
  <c r="I91" i="6"/>
  <c r="L90" i="6"/>
  <c r="K90" i="6"/>
  <c r="J90" i="6"/>
  <c r="I90" i="6"/>
  <c r="G89" i="6"/>
  <c r="L89" i="6" s="1"/>
  <c r="F89" i="6"/>
  <c r="I89" i="6" s="1"/>
  <c r="F88" i="6"/>
  <c r="L86" i="6"/>
  <c r="I86" i="6"/>
  <c r="L85" i="6"/>
  <c r="G85" i="6"/>
  <c r="I85" i="6" s="1"/>
  <c r="F83" i="6"/>
  <c r="E83" i="6"/>
  <c r="E82" i="6" s="1"/>
  <c r="F82" i="6"/>
  <c r="L81" i="6"/>
  <c r="I81" i="6"/>
  <c r="L80" i="6"/>
  <c r="K80" i="6"/>
  <c r="I80" i="6"/>
  <c r="L79" i="6"/>
  <c r="K79" i="6"/>
  <c r="I79" i="6"/>
  <c r="L78" i="6"/>
  <c r="I78" i="6"/>
  <c r="G77" i="6"/>
  <c r="F77" i="6"/>
  <c r="E77" i="6"/>
  <c r="L76" i="6"/>
  <c r="I76" i="6"/>
  <c r="L75" i="6"/>
  <c r="I75" i="6"/>
  <c r="L74" i="6"/>
  <c r="I74" i="6"/>
  <c r="L73" i="6"/>
  <c r="I73" i="6"/>
  <c r="L72" i="6"/>
  <c r="I72" i="6"/>
  <c r="L71" i="6"/>
  <c r="I71" i="6"/>
  <c r="L70" i="6"/>
  <c r="I70" i="6"/>
  <c r="L69" i="6"/>
  <c r="I69" i="6"/>
  <c r="L68" i="6"/>
  <c r="I68" i="6"/>
  <c r="G67" i="6"/>
  <c r="F67" i="6"/>
  <c r="L66" i="6"/>
  <c r="K66" i="6"/>
  <c r="J66" i="6"/>
  <c r="I66" i="6"/>
  <c r="L65" i="6"/>
  <c r="K65" i="6"/>
  <c r="J65" i="6"/>
  <c r="I65" i="6"/>
  <c r="G64" i="6"/>
  <c r="K64" i="6" s="1"/>
  <c r="F64" i="6"/>
  <c r="L63" i="6"/>
  <c r="I63" i="6"/>
  <c r="L62" i="6"/>
  <c r="K62" i="6"/>
  <c r="J62" i="6"/>
  <c r="I62" i="6"/>
  <c r="J61" i="6"/>
  <c r="G61" i="6"/>
  <c r="F61" i="6"/>
  <c r="E61" i="6"/>
  <c r="L61" i="6" s="1"/>
  <c r="D61" i="6"/>
  <c r="L60" i="6"/>
  <c r="K60" i="6"/>
  <c r="I60" i="6"/>
  <c r="L59" i="6"/>
  <c r="K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I54" i="6"/>
  <c r="L53" i="6"/>
  <c r="I53" i="6"/>
  <c r="L52" i="6"/>
  <c r="K52" i="6"/>
  <c r="I52" i="6"/>
  <c r="L51" i="6"/>
  <c r="K51" i="6"/>
  <c r="I51" i="6"/>
  <c r="G50" i="6"/>
  <c r="J50" i="6" s="1"/>
  <c r="F50" i="6"/>
  <c r="F49" i="6" s="1"/>
  <c r="E50" i="6"/>
  <c r="L48" i="6"/>
  <c r="I48" i="6"/>
  <c r="G47" i="6"/>
  <c r="L47" i="6" s="1"/>
  <c r="F47" i="6"/>
  <c r="G46" i="6"/>
  <c r="F46" i="6"/>
  <c r="L45" i="6"/>
  <c r="K45" i="6"/>
  <c r="I45" i="6"/>
  <c r="G44" i="6"/>
  <c r="K44" i="6" s="1"/>
  <c r="F44" i="6"/>
  <c r="E44" i="6"/>
  <c r="L43" i="6"/>
  <c r="J43" i="6"/>
  <c r="I43" i="6"/>
  <c r="K42" i="6"/>
  <c r="J42" i="6"/>
  <c r="I42" i="6"/>
  <c r="G42" i="6"/>
  <c r="L42" i="6" s="1"/>
  <c r="F42" i="6"/>
  <c r="L41" i="6"/>
  <c r="K41" i="6"/>
  <c r="J41" i="6"/>
  <c r="I41" i="6"/>
  <c r="L40" i="6"/>
  <c r="F39" i="6"/>
  <c r="L38" i="6"/>
  <c r="I38" i="6"/>
  <c r="G38" i="6"/>
  <c r="G37" i="6"/>
  <c r="L37" i="6" s="1"/>
  <c r="L36" i="6"/>
  <c r="K36" i="6"/>
  <c r="J36" i="6"/>
  <c r="I36" i="6"/>
  <c r="L35" i="6"/>
  <c r="F34" i="6"/>
  <c r="F31" i="6" s="1"/>
  <c r="L33" i="6"/>
  <c r="I33" i="6"/>
  <c r="G32" i="6"/>
  <c r="L32" i="6" s="1"/>
  <c r="E31" i="6"/>
  <c r="L28" i="6"/>
  <c r="K28" i="6"/>
  <c r="G28" i="6"/>
  <c r="I28" i="6" s="1"/>
  <c r="L25" i="6"/>
  <c r="I25" i="6"/>
  <c r="L24" i="6"/>
  <c r="K24" i="6"/>
  <c r="I24" i="6"/>
  <c r="L23" i="6"/>
  <c r="K23" i="6"/>
  <c r="I23" i="6"/>
  <c r="J23" i="6"/>
  <c r="L19" i="6"/>
  <c r="I19" i="6"/>
  <c r="K19" i="6"/>
  <c r="G18" i="6"/>
  <c r="L16" i="6"/>
  <c r="L15" i="6"/>
  <c r="I15" i="6"/>
  <c r="L14" i="6"/>
  <c r="K14" i="6"/>
  <c r="J14" i="6"/>
  <c r="I14" i="6"/>
  <c r="F13" i="6"/>
  <c r="E13" i="6"/>
  <c r="K12" i="6"/>
  <c r="J12" i="6"/>
  <c r="I12" i="6"/>
  <c r="G12" i="6"/>
  <c r="L12" i="6" s="1"/>
  <c r="L11" i="6"/>
  <c r="K11" i="6"/>
  <c r="I11" i="6"/>
  <c r="L10" i="6"/>
  <c r="I10" i="6"/>
  <c r="G10" i="6"/>
  <c r="J9" i="6"/>
  <c r="H7" i="6"/>
  <c r="F7" i="6"/>
  <c r="E7" i="6"/>
  <c r="E6" i="6" s="1"/>
  <c r="D7" i="6"/>
  <c r="F6" i="6"/>
  <c r="H4" i="6"/>
  <c r="I87" i="9" l="1"/>
  <c r="L87" i="9"/>
  <c r="J87" i="9"/>
  <c r="K87" i="9"/>
  <c r="G121" i="9"/>
  <c r="L5" i="9"/>
  <c r="K5" i="9"/>
  <c r="J5" i="9"/>
  <c r="I5" i="9"/>
  <c r="L6" i="8"/>
  <c r="K6" i="8"/>
  <c r="G5" i="8"/>
  <c r="J6" i="8"/>
  <c r="I6" i="8"/>
  <c r="K31" i="8"/>
  <c r="L31" i="8"/>
  <c r="J31" i="8"/>
  <c r="I31" i="8"/>
  <c r="K95" i="8"/>
  <c r="J95" i="8"/>
  <c r="L95" i="8"/>
  <c r="I95" i="8"/>
  <c r="G87" i="8"/>
  <c r="L49" i="7"/>
  <c r="J49" i="7"/>
  <c r="I49" i="7"/>
  <c r="K49" i="7"/>
  <c r="L39" i="7"/>
  <c r="I39" i="7"/>
  <c r="K39" i="7"/>
  <c r="J39" i="7"/>
  <c r="I6" i="7"/>
  <c r="K6" i="7"/>
  <c r="J6" i="7"/>
  <c r="L6" i="7"/>
  <c r="I116" i="7"/>
  <c r="L116" i="7"/>
  <c r="J116" i="7"/>
  <c r="K116" i="7"/>
  <c r="L95" i="7"/>
  <c r="K95" i="7"/>
  <c r="I95" i="7"/>
  <c r="J95" i="7"/>
  <c r="L112" i="7"/>
  <c r="K112" i="7"/>
  <c r="J112" i="7"/>
  <c r="I112" i="7"/>
  <c r="G31" i="7"/>
  <c r="K92" i="7"/>
  <c r="J92" i="7"/>
  <c r="L92" i="7"/>
  <c r="I92" i="7"/>
  <c r="G88" i="7"/>
  <c r="J13" i="7"/>
  <c r="K13" i="7"/>
  <c r="I13" i="7"/>
  <c r="L13" i="7"/>
  <c r="J107" i="6"/>
  <c r="G92" i="6"/>
  <c r="J94" i="6"/>
  <c r="J89" i="6"/>
  <c r="K89" i="6"/>
  <c r="L64" i="6"/>
  <c r="G49" i="6"/>
  <c r="J49" i="6" s="1"/>
  <c r="I47" i="6"/>
  <c r="G39" i="6"/>
  <c r="J40" i="6"/>
  <c r="I40" i="6"/>
  <c r="I29" i="6"/>
  <c r="L20" i="6"/>
  <c r="K9" i="6"/>
  <c r="L9" i="6"/>
  <c r="I8" i="6"/>
  <c r="K8" i="6"/>
  <c r="K17" i="6"/>
  <c r="L17" i="6"/>
  <c r="I17" i="6"/>
  <c r="K21" i="6"/>
  <c r="L21" i="6"/>
  <c r="I21" i="6"/>
  <c r="I26" i="6"/>
  <c r="L26" i="6"/>
  <c r="K26" i="6"/>
  <c r="I30" i="6"/>
  <c r="L30" i="6"/>
  <c r="K30" i="6"/>
  <c r="L84" i="6"/>
  <c r="G83" i="6"/>
  <c r="I84" i="6"/>
  <c r="E5" i="6"/>
  <c r="E121" i="6" s="1"/>
  <c r="K18" i="6"/>
  <c r="L18" i="6"/>
  <c r="K22" i="6"/>
  <c r="L22" i="6"/>
  <c r="I27" i="6"/>
  <c r="L27" i="6"/>
  <c r="E49" i="6"/>
  <c r="K50" i="6"/>
  <c r="F5" i="6"/>
  <c r="G13" i="6"/>
  <c r="I18" i="6"/>
  <c r="I22" i="6"/>
  <c r="K27" i="6"/>
  <c r="L46" i="6"/>
  <c r="I46" i="6"/>
  <c r="K77" i="6"/>
  <c r="L77" i="6"/>
  <c r="I77" i="6"/>
  <c r="J114" i="6"/>
  <c r="I114" i="6"/>
  <c r="L114" i="6"/>
  <c r="K114" i="6"/>
  <c r="G112" i="6"/>
  <c r="K35" i="6"/>
  <c r="G34" i="6"/>
  <c r="I32" i="6"/>
  <c r="I35" i="6"/>
  <c r="I37" i="6"/>
  <c r="I44" i="6"/>
  <c r="L50" i="6"/>
  <c r="K61" i="6"/>
  <c r="I64" i="6"/>
  <c r="I67" i="6"/>
  <c r="K106" i="6"/>
  <c r="G105" i="6"/>
  <c r="J106" i="6"/>
  <c r="I107" i="6"/>
  <c r="J117" i="6"/>
  <c r="G116" i="6"/>
  <c r="I117" i="6"/>
  <c r="J8" i="6"/>
  <c r="G7" i="6"/>
  <c r="J11" i="6"/>
  <c r="I16" i="6"/>
  <c r="I20" i="6"/>
  <c r="K25" i="6"/>
  <c r="K29" i="6"/>
  <c r="J35" i="6"/>
  <c r="L44" i="6"/>
  <c r="I50" i="6"/>
  <c r="I61" i="6"/>
  <c r="J64" i="6"/>
  <c r="L67" i="6"/>
  <c r="K96" i="6"/>
  <c r="J96" i="6"/>
  <c r="F95" i="6"/>
  <c r="F87" i="6" s="1"/>
  <c r="I106" i="6"/>
  <c r="K117" i="6"/>
  <c r="L94" i="6"/>
  <c r="L107" i="6"/>
  <c r="G106" i="5"/>
  <c r="G94" i="5"/>
  <c r="G86" i="5"/>
  <c r="G84" i="5"/>
  <c r="G40" i="5"/>
  <c r="G35" i="5"/>
  <c r="G30" i="5"/>
  <c r="G29" i="5"/>
  <c r="G27" i="5"/>
  <c r="G26" i="5"/>
  <c r="G25" i="5"/>
  <c r="G24" i="5"/>
  <c r="G21" i="5"/>
  <c r="G20" i="5"/>
  <c r="G19" i="5"/>
  <c r="G17" i="5"/>
  <c r="G16" i="5"/>
  <c r="G12" i="5"/>
  <c r="G11" i="5"/>
  <c r="G9" i="5"/>
  <c r="G8" i="5"/>
  <c r="L121" i="9" l="1"/>
  <c r="K121" i="9"/>
  <c r="J121" i="9"/>
  <c r="I121" i="9"/>
  <c r="K5" i="8"/>
  <c r="I5" i="8"/>
  <c r="G121" i="8"/>
  <c r="L5" i="8"/>
  <c r="J5" i="8"/>
  <c r="L87" i="8"/>
  <c r="K87" i="8"/>
  <c r="J87" i="8"/>
  <c r="I87" i="8"/>
  <c r="K88" i="7"/>
  <c r="J88" i="7"/>
  <c r="G87" i="7"/>
  <c r="L88" i="7"/>
  <c r="I88" i="7"/>
  <c r="L31" i="7"/>
  <c r="I31" i="7"/>
  <c r="K31" i="7"/>
  <c r="J31" i="7"/>
  <c r="G5" i="7"/>
  <c r="L92" i="6"/>
  <c r="K92" i="6"/>
  <c r="I92" i="6"/>
  <c r="G88" i="6"/>
  <c r="J92" i="6"/>
  <c r="I49" i="6"/>
  <c r="K49" i="6"/>
  <c r="K39" i="6"/>
  <c r="J39" i="6"/>
  <c r="I39" i="6"/>
  <c r="L39" i="6"/>
  <c r="K112" i="6"/>
  <c r="J112" i="6"/>
  <c r="L112" i="6"/>
  <c r="I112" i="6"/>
  <c r="L116" i="6"/>
  <c r="K116" i="6"/>
  <c r="I116" i="6"/>
  <c r="J116" i="6"/>
  <c r="L105" i="6"/>
  <c r="K105" i="6"/>
  <c r="J105" i="6"/>
  <c r="G95" i="6"/>
  <c r="I105" i="6"/>
  <c r="I13" i="6"/>
  <c r="L13" i="6"/>
  <c r="K13" i="6"/>
  <c r="J13" i="6"/>
  <c r="I83" i="6"/>
  <c r="L83" i="6"/>
  <c r="G82" i="6"/>
  <c r="L49" i="6"/>
  <c r="K7" i="6"/>
  <c r="G6" i="6"/>
  <c r="L7" i="6"/>
  <c r="J7" i="6"/>
  <c r="I7" i="6"/>
  <c r="L34" i="6"/>
  <c r="J34" i="6"/>
  <c r="I34" i="6"/>
  <c r="G31" i="6"/>
  <c r="K34" i="6"/>
  <c r="F121" i="6"/>
  <c r="E7" i="5"/>
  <c r="E6" i="5"/>
  <c r="E5" i="5"/>
  <c r="E82" i="5"/>
  <c r="E83" i="5"/>
  <c r="K121" i="8" l="1"/>
  <c r="J121" i="8"/>
  <c r="L121" i="8"/>
  <c r="I121" i="8"/>
  <c r="I87" i="7"/>
  <c r="L87" i="7"/>
  <c r="J87" i="7"/>
  <c r="K87" i="7"/>
  <c r="G121" i="7"/>
  <c r="L5" i="7"/>
  <c r="K5" i="7"/>
  <c r="J5" i="7"/>
  <c r="I5" i="7"/>
  <c r="L88" i="6"/>
  <c r="J88" i="6"/>
  <c r="I88" i="6"/>
  <c r="K88" i="6"/>
  <c r="L82" i="6"/>
  <c r="I82" i="6"/>
  <c r="K95" i="6"/>
  <c r="J95" i="6"/>
  <c r="L95" i="6"/>
  <c r="I95" i="6"/>
  <c r="G87" i="6"/>
  <c r="L6" i="6"/>
  <c r="K6" i="6"/>
  <c r="G5" i="6"/>
  <c r="J6" i="6"/>
  <c r="I6" i="6"/>
  <c r="K31" i="6"/>
  <c r="J31" i="6"/>
  <c r="I31" i="6"/>
  <c r="L31" i="6"/>
  <c r="F83" i="5"/>
  <c r="L121" i="7" l="1"/>
  <c r="K121" i="7"/>
  <c r="J121" i="7"/>
  <c r="I121" i="7"/>
  <c r="L87" i="6"/>
  <c r="K87" i="6"/>
  <c r="J87" i="6"/>
  <c r="I87" i="6"/>
  <c r="K5" i="6"/>
  <c r="L5" i="6"/>
  <c r="G121" i="6"/>
  <c r="J5" i="6"/>
  <c r="I5" i="6"/>
  <c r="G64" i="5"/>
  <c r="I63" i="5"/>
  <c r="G38" i="5"/>
  <c r="G37" i="5"/>
  <c r="G23" i="5"/>
  <c r="G22" i="5"/>
  <c r="G18" i="5"/>
  <c r="G10" i="5"/>
  <c r="K121" i="6" l="1"/>
  <c r="J121" i="6"/>
  <c r="L121" i="6"/>
  <c r="I121" i="6"/>
  <c r="E121" i="5"/>
  <c r="L120" i="5"/>
  <c r="K120" i="5"/>
  <c r="J120" i="5"/>
  <c r="I120" i="5"/>
  <c r="L119" i="5"/>
  <c r="K119" i="5"/>
  <c r="J119" i="5"/>
  <c r="I119" i="5"/>
  <c r="L118" i="5"/>
  <c r="K118" i="5"/>
  <c r="J118" i="5"/>
  <c r="I118" i="5"/>
  <c r="K117" i="5"/>
  <c r="J117" i="5"/>
  <c r="G117" i="5"/>
  <c r="L117" i="5" s="1"/>
  <c r="F117" i="5"/>
  <c r="I117" i="5" s="1"/>
  <c r="G116" i="5"/>
  <c r="L115" i="5"/>
  <c r="K115" i="5"/>
  <c r="J115" i="5"/>
  <c r="I115" i="5"/>
  <c r="G114" i="5"/>
  <c r="L114" i="5" s="1"/>
  <c r="F114" i="5"/>
  <c r="F112" i="5" s="1"/>
  <c r="L113" i="5"/>
  <c r="K113" i="5"/>
  <c r="I113" i="5"/>
  <c r="L111" i="5"/>
  <c r="K111" i="5"/>
  <c r="J111" i="5"/>
  <c r="I111" i="5"/>
  <c r="L110" i="5"/>
  <c r="I110" i="5"/>
  <c r="L109" i="5"/>
  <c r="I109" i="5"/>
  <c r="L108" i="5"/>
  <c r="K108" i="5"/>
  <c r="J108" i="5"/>
  <c r="I108" i="5"/>
  <c r="G107" i="5"/>
  <c r="F107" i="5"/>
  <c r="K106" i="5"/>
  <c r="J106" i="5"/>
  <c r="I106" i="5"/>
  <c r="G105" i="5"/>
  <c r="F105" i="5"/>
  <c r="L104" i="5"/>
  <c r="I104" i="5"/>
  <c r="L103" i="5"/>
  <c r="K103" i="5"/>
  <c r="J103" i="5"/>
  <c r="I103" i="5"/>
  <c r="L102" i="5"/>
  <c r="K102" i="5"/>
  <c r="J102" i="5"/>
  <c r="I102" i="5"/>
  <c r="L101" i="5"/>
  <c r="K101" i="5"/>
  <c r="J101" i="5"/>
  <c r="I101" i="5"/>
  <c r="L100" i="5"/>
  <c r="K100" i="5"/>
  <c r="J100" i="5"/>
  <c r="I100" i="5"/>
  <c r="L99" i="5"/>
  <c r="K99" i="5"/>
  <c r="J99" i="5"/>
  <c r="I99" i="5"/>
  <c r="L98" i="5"/>
  <c r="K98" i="5"/>
  <c r="J98" i="5"/>
  <c r="I98" i="5"/>
  <c r="L97" i="5"/>
  <c r="K97" i="5"/>
  <c r="I97" i="5"/>
  <c r="G96" i="5"/>
  <c r="F96" i="5"/>
  <c r="E96" i="5"/>
  <c r="D96" i="5"/>
  <c r="L94" i="5"/>
  <c r="I94" i="5"/>
  <c r="L93" i="5"/>
  <c r="K93" i="5"/>
  <c r="J93" i="5"/>
  <c r="I93" i="5"/>
  <c r="F92" i="5"/>
  <c r="E92" i="5"/>
  <c r="D92" i="5"/>
  <c r="L91" i="5"/>
  <c r="I91" i="5"/>
  <c r="L90" i="5"/>
  <c r="K90" i="5"/>
  <c r="J90" i="5"/>
  <c r="I90" i="5"/>
  <c r="G89" i="5"/>
  <c r="F89" i="5"/>
  <c r="F88" i="5" s="1"/>
  <c r="L85" i="5"/>
  <c r="G85" i="5"/>
  <c r="I85" i="5" s="1"/>
  <c r="L84" i="5"/>
  <c r="I84" i="5"/>
  <c r="F82" i="5"/>
  <c r="L81" i="5"/>
  <c r="I81" i="5"/>
  <c r="L80" i="5"/>
  <c r="K80" i="5"/>
  <c r="I80" i="5"/>
  <c r="L79" i="5"/>
  <c r="K79" i="5"/>
  <c r="I79" i="5"/>
  <c r="L78" i="5"/>
  <c r="I78" i="5"/>
  <c r="G77" i="5"/>
  <c r="F77" i="5"/>
  <c r="E77" i="5"/>
  <c r="L76" i="5"/>
  <c r="I76" i="5"/>
  <c r="L75" i="5"/>
  <c r="I75" i="5"/>
  <c r="L74" i="5"/>
  <c r="I74" i="5"/>
  <c r="L73" i="5"/>
  <c r="I73" i="5"/>
  <c r="L72" i="5"/>
  <c r="I72" i="5"/>
  <c r="L71" i="5"/>
  <c r="I71" i="5"/>
  <c r="L70" i="5"/>
  <c r="I70" i="5"/>
  <c r="L69" i="5"/>
  <c r="I69" i="5"/>
  <c r="L68" i="5"/>
  <c r="I68" i="5"/>
  <c r="G67" i="5"/>
  <c r="I67" i="5" s="1"/>
  <c r="F67" i="5"/>
  <c r="L66" i="5"/>
  <c r="K66" i="5"/>
  <c r="J66" i="5"/>
  <c r="I66" i="5"/>
  <c r="L65" i="5"/>
  <c r="K65" i="5"/>
  <c r="J65" i="5"/>
  <c r="I65" i="5"/>
  <c r="F64" i="5"/>
  <c r="L63" i="5"/>
  <c r="L62" i="5"/>
  <c r="K62" i="5"/>
  <c r="J62" i="5"/>
  <c r="I62" i="5"/>
  <c r="L61" i="5"/>
  <c r="K61" i="5"/>
  <c r="G61" i="5"/>
  <c r="F61" i="5"/>
  <c r="E61" i="5"/>
  <c r="D61" i="5"/>
  <c r="L60" i="5"/>
  <c r="K60" i="5"/>
  <c r="I60" i="5"/>
  <c r="L59" i="5"/>
  <c r="K59" i="5"/>
  <c r="I59" i="5"/>
  <c r="L58" i="5"/>
  <c r="K58" i="5"/>
  <c r="J58" i="5"/>
  <c r="I58" i="5"/>
  <c r="L57" i="5"/>
  <c r="K57" i="5"/>
  <c r="J57" i="5"/>
  <c r="I57" i="5"/>
  <c r="L56" i="5"/>
  <c r="K56" i="5"/>
  <c r="J56" i="5"/>
  <c r="I56" i="5"/>
  <c r="L55" i="5"/>
  <c r="K55" i="5"/>
  <c r="J55" i="5"/>
  <c r="I55" i="5"/>
  <c r="L54" i="5"/>
  <c r="K54" i="5"/>
  <c r="I54" i="5"/>
  <c r="L53" i="5"/>
  <c r="I53" i="5"/>
  <c r="L52" i="5"/>
  <c r="K52" i="5"/>
  <c r="I52" i="5"/>
  <c r="L51" i="5"/>
  <c r="K51" i="5"/>
  <c r="I51" i="5"/>
  <c r="G50" i="5"/>
  <c r="F50" i="5"/>
  <c r="E50" i="5"/>
  <c r="E49" i="5" s="1"/>
  <c r="L48" i="5"/>
  <c r="I48" i="5"/>
  <c r="L47" i="5"/>
  <c r="G47" i="5"/>
  <c r="F47" i="5"/>
  <c r="L46" i="5"/>
  <c r="G46" i="5"/>
  <c r="F46" i="5"/>
  <c r="L45" i="5"/>
  <c r="K45" i="5"/>
  <c r="I45" i="5"/>
  <c r="G44" i="5"/>
  <c r="F44" i="5"/>
  <c r="E44" i="5"/>
  <c r="L43" i="5"/>
  <c r="J43" i="5"/>
  <c r="I43" i="5"/>
  <c r="G42" i="5"/>
  <c r="F42" i="5"/>
  <c r="F31" i="5" s="1"/>
  <c r="L41" i="5"/>
  <c r="K41" i="5"/>
  <c r="J41" i="5"/>
  <c r="I41" i="5"/>
  <c r="K40" i="5"/>
  <c r="J40" i="5"/>
  <c r="I40" i="5"/>
  <c r="G39" i="5"/>
  <c r="F39" i="5"/>
  <c r="L37" i="5"/>
  <c r="I37" i="5"/>
  <c r="L36" i="5"/>
  <c r="K36" i="5"/>
  <c r="J36" i="5"/>
  <c r="I36" i="5"/>
  <c r="L35" i="5"/>
  <c r="G34" i="5"/>
  <c r="K34" i="5" s="1"/>
  <c r="F34" i="5"/>
  <c r="L33" i="5"/>
  <c r="I33" i="5"/>
  <c r="G32" i="5"/>
  <c r="I32" i="5" s="1"/>
  <c r="E31" i="5"/>
  <c r="L30" i="5"/>
  <c r="K30" i="5"/>
  <c r="I30" i="5"/>
  <c r="L29" i="5"/>
  <c r="K29" i="5"/>
  <c r="I29" i="5"/>
  <c r="L28" i="5"/>
  <c r="K28" i="5"/>
  <c r="I28" i="5"/>
  <c r="G28" i="5"/>
  <c r="L27" i="5"/>
  <c r="K27" i="5"/>
  <c r="I27" i="5"/>
  <c r="L26" i="5"/>
  <c r="K26" i="5"/>
  <c r="I26" i="5"/>
  <c r="L25" i="5"/>
  <c r="K25" i="5"/>
  <c r="I25" i="5"/>
  <c r="L24" i="5"/>
  <c r="K24" i="5"/>
  <c r="I24" i="5"/>
  <c r="L23" i="5"/>
  <c r="K23" i="5"/>
  <c r="J23" i="5"/>
  <c r="I22" i="5"/>
  <c r="I21" i="5"/>
  <c r="L20" i="5"/>
  <c r="I20" i="5"/>
  <c r="L19" i="5"/>
  <c r="K19" i="5"/>
  <c r="I19" i="5"/>
  <c r="I18" i="5"/>
  <c r="I17" i="5"/>
  <c r="L16" i="5"/>
  <c r="I16" i="5"/>
  <c r="L15" i="5"/>
  <c r="I15" i="5"/>
  <c r="L14" i="5"/>
  <c r="K14" i="5"/>
  <c r="J14" i="5"/>
  <c r="I14" i="5"/>
  <c r="F13" i="5"/>
  <c r="E13" i="5"/>
  <c r="L12" i="5"/>
  <c r="J12" i="5"/>
  <c r="I12" i="5"/>
  <c r="K12" i="5"/>
  <c r="K11" i="5"/>
  <c r="J11" i="5"/>
  <c r="I11" i="5"/>
  <c r="L11" i="5"/>
  <c r="L10" i="5"/>
  <c r="K9" i="5"/>
  <c r="J9" i="5"/>
  <c r="I9" i="5"/>
  <c r="L9" i="5"/>
  <c r="I8" i="5"/>
  <c r="H7" i="5"/>
  <c r="F7" i="5"/>
  <c r="D7" i="5"/>
  <c r="H4" i="5"/>
  <c r="G22" i="3"/>
  <c r="F116" i="5" l="1"/>
  <c r="I96" i="5"/>
  <c r="F95" i="5"/>
  <c r="F87" i="5" s="1"/>
  <c r="F6" i="5"/>
  <c r="F49" i="5"/>
  <c r="F5" i="5" s="1"/>
  <c r="I44" i="5"/>
  <c r="G112" i="5"/>
  <c r="L112" i="5" s="1"/>
  <c r="I114" i="5"/>
  <c r="J114" i="5"/>
  <c r="K114" i="5"/>
  <c r="K96" i="5"/>
  <c r="J96" i="5"/>
  <c r="L67" i="5"/>
  <c r="K44" i="5"/>
  <c r="L44" i="5"/>
  <c r="J34" i="5"/>
  <c r="L34" i="5"/>
  <c r="K42" i="5"/>
  <c r="J42" i="5"/>
  <c r="K50" i="5"/>
  <c r="J50" i="5"/>
  <c r="K64" i="5"/>
  <c r="J64" i="5"/>
  <c r="K107" i="5"/>
  <c r="J107" i="5"/>
  <c r="J116" i="5"/>
  <c r="I116" i="5"/>
  <c r="J8" i="5"/>
  <c r="I10" i="5"/>
  <c r="K18" i="5"/>
  <c r="K22" i="5"/>
  <c r="G31" i="5"/>
  <c r="J39" i="5"/>
  <c r="I39" i="5"/>
  <c r="I42" i="5"/>
  <c r="I50" i="5"/>
  <c r="I64" i="5"/>
  <c r="L86" i="5"/>
  <c r="I86" i="5"/>
  <c r="J89" i="5"/>
  <c r="G88" i="5"/>
  <c r="I89" i="5"/>
  <c r="J105" i="5"/>
  <c r="I105" i="5"/>
  <c r="G95" i="5"/>
  <c r="I107" i="5"/>
  <c r="K116" i="5"/>
  <c r="K8" i="5"/>
  <c r="K17" i="5"/>
  <c r="L18" i="5"/>
  <c r="K21" i="5"/>
  <c r="L22" i="5"/>
  <c r="L32" i="5"/>
  <c r="J35" i="5"/>
  <c r="I35" i="5"/>
  <c r="K39" i="5"/>
  <c r="L42" i="5"/>
  <c r="I47" i="5"/>
  <c r="L50" i="5"/>
  <c r="L64" i="5"/>
  <c r="K77" i="5"/>
  <c r="I77" i="5"/>
  <c r="G83" i="5"/>
  <c r="K89" i="5"/>
  <c r="K105" i="5"/>
  <c r="L107" i="5"/>
  <c r="L116" i="5"/>
  <c r="G7" i="5"/>
  <c r="L8" i="5"/>
  <c r="K16" i="5"/>
  <c r="L17" i="5"/>
  <c r="K20" i="5"/>
  <c r="L21" i="5"/>
  <c r="I23" i="5"/>
  <c r="G13" i="5"/>
  <c r="I34" i="5"/>
  <c r="K35" i="5"/>
  <c r="L38" i="5"/>
  <c r="I38" i="5"/>
  <c r="L39" i="5"/>
  <c r="I46" i="5"/>
  <c r="G49" i="5"/>
  <c r="J61" i="5"/>
  <c r="I61" i="5"/>
  <c r="L77" i="5"/>
  <c r="L89" i="5"/>
  <c r="K94" i="5"/>
  <c r="G92" i="5"/>
  <c r="J94" i="5"/>
  <c r="L105" i="5"/>
  <c r="L40" i="5"/>
  <c r="L96" i="5"/>
  <c r="L106" i="5"/>
  <c r="F121" i="5" l="1"/>
  <c r="I112" i="5"/>
  <c r="K112" i="5"/>
  <c r="J112" i="5"/>
  <c r="I95" i="5"/>
  <c r="L95" i="5"/>
  <c r="J95" i="5"/>
  <c r="K95" i="5"/>
  <c r="L88" i="5"/>
  <c r="K88" i="5"/>
  <c r="J88" i="5"/>
  <c r="G87" i="5"/>
  <c r="I88" i="5"/>
  <c r="L92" i="5"/>
  <c r="K92" i="5"/>
  <c r="J92" i="5"/>
  <c r="I92" i="5"/>
  <c r="J7" i="5"/>
  <c r="L7" i="5"/>
  <c r="K7" i="5"/>
  <c r="I7" i="5"/>
  <c r="G6" i="5"/>
  <c r="J31" i="5"/>
  <c r="K31" i="5"/>
  <c r="I31" i="5"/>
  <c r="L31" i="5"/>
  <c r="L13" i="5"/>
  <c r="K13" i="5"/>
  <c r="J13" i="5"/>
  <c r="I13" i="5"/>
  <c r="L83" i="5"/>
  <c r="I83" i="5"/>
  <c r="G82" i="5"/>
  <c r="J49" i="5"/>
  <c r="I49" i="5"/>
  <c r="L49" i="5"/>
  <c r="K49" i="5"/>
  <c r="K87" i="3"/>
  <c r="L7" i="3"/>
  <c r="L8" i="3"/>
  <c r="L9" i="3"/>
  <c r="L10" i="3"/>
  <c r="L11" i="3"/>
  <c r="L12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K7" i="3"/>
  <c r="K8" i="3"/>
  <c r="K9" i="3"/>
  <c r="K11" i="3"/>
  <c r="K12" i="3"/>
  <c r="K14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4" i="3"/>
  <c r="K35" i="3"/>
  <c r="K36" i="3"/>
  <c r="K39" i="3"/>
  <c r="K40" i="3"/>
  <c r="K41" i="3"/>
  <c r="K42" i="3"/>
  <c r="K44" i="3"/>
  <c r="K45" i="3"/>
  <c r="K49" i="3"/>
  <c r="K50" i="3"/>
  <c r="K51" i="3"/>
  <c r="K52" i="3"/>
  <c r="K54" i="3"/>
  <c r="K55" i="3"/>
  <c r="K56" i="3"/>
  <c r="K57" i="3"/>
  <c r="K58" i="3"/>
  <c r="K59" i="3"/>
  <c r="K60" i="3"/>
  <c r="K61" i="3"/>
  <c r="K62" i="3"/>
  <c r="K64" i="3"/>
  <c r="K65" i="3"/>
  <c r="K66" i="3"/>
  <c r="K77" i="3"/>
  <c r="K79" i="3"/>
  <c r="K80" i="3"/>
  <c r="K88" i="3"/>
  <c r="K89" i="3"/>
  <c r="K90" i="3"/>
  <c r="K92" i="3"/>
  <c r="K93" i="3"/>
  <c r="K94" i="3"/>
  <c r="K95" i="3"/>
  <c r="K96" i="3"/>
  <c r="K97" i="3"/>
  <c r="K98" i="3"/>
  <c r="K99" i="3"/>
  <c r="K100" i="3"/>
  <c r="K101" i="3"/>
  <c r="K102" i="3"/>
  <c r="K103" i="3"/>
  <c r="K105" i="3"/>
  <c r="K106" i="3"/>
  <c r="K107" i="3"/>
  <c r="K108" i="3"/>
  <c r="K111" i="3"/>
  <c r="K112" i="3"/>
  <c r="K113" i="3"/>
  <c r="K114" i="3"/>
  <c r="K115" i="3"/>
  <c r="K116" i="3"/>
  <c r="K117" i="3"/>
  <c r="K118" i="3"/>
  <c r="K119" i="3"/>
  <c r="K120" i="3"/>
  <c r="G106" i="3"/>
  <c r="G94" i="3"/>
  <c r="G86" i="3"/>
  <c r="G85" i="3"/>
  <c r="G84" i="3"/>
  <c r="J87" i="5" l="1"/>
  <c r="I87" i="5"/>
  <c r="L87" i="5"/>
  <c r="K87" i="5"/>
  <c r="J6" i="5"/>
  <c r="G5" i="5"/>
  <c r="K6" i="5"/>
  <c r="I6" i="5"/>
  <c r="L6" i="5"/>
  <c r="L82" i="5"/>
  <c r="I82" i="5"/>
  <c r="G40" i="3"/>
  <c r="G37" i="3"/>
  <c r="G35" i="3"/>
  <c r="G30" i="3"/>
  <c r="G29" i="3"/>
  <c r="G27" i="3"/>
  <c r="G26" i="3"/>
  <c r="G25" i="3"/>
  <c r="G24" i="3"/>
  <c r="G23" i="3"/>
  <c r="G21" i="3"/>
  <c r="G20" i="3"/>
  <c r="G19" i="3"/>
  <c r="G18" i="3"/>
  <c r="G17" i="3"/>
  <c r="G16" i="3"/>
  <c r="G12" i="3"/>
  <c r="G11" i="3"/>
  <c r="G10" i="3"/>
  <c r="G9" i="3"/>
  <c r="G8" i="3"/>
  <c r="L5" i="5" l="1"/>
  <c r="G121" i="5"/>
  <c r="K5" i="5"/>
  <c r="J5" i="5"/>
  <c r="I5" i="5"/>
  <c r="F50" i="3"/>
  <c r="F49" i="3"/>
  <c r="E31" i="3"/>
  <c r="I121" i="5" l="1"/>
  <c r="L121" i="5"/>
  <c r="K121" i="5"/>
  <c r="J121" i="5"/>
  <c r="E121" i="3"/>
  <c r="J120" i="3"/>
  <c r="I120" i="3"/>
  <c r="J119" i="3"/>
  <c r="I119" i="3"/>
  <c r="J118" i="3"/>
  <c r="I118" i="3"/>
  <c r="J117" i="3"/>
  <c r="G117" i="3"/>
  <c r="F117" i="3"/>
  <c r="F116" i="3" s="1"/>
  <c r="G116" i="3"/>
  <c r="J115" i="3"/>
  <c r="I115" i="3"/>
  <c r="G114" i="3"/>
  <c r="F114" i="3"/>
  <c r="I113" i="3"/>
  <c r="G112" i="3"/>
  <c r="J111" i="3"/>
  <c r="I111" i="3"/>
  <c r="I110" i="3"/>
  <c r="I109" i="3"/>
  <c r="J108" i="3"/>
  <c r="I108" i="3"/>
  <c r="G107" i="3"/>
  <c r="F107" i="3"/>
  <c r="J107" i="3" s="1"/>
  <c r="I106" i="3"/>
  <c r="F105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I97" i="3"/>
  <c r="G96" i="3"/>
  <c r="F96" i="3"/>
  <c r="E96" i="3"/>
  <c r="D96" i="3"/>
  <c r="J94" i="3"/>
  <c r="I94" i="3"/>
  <c r="J93" i="3"/>
  <c r="I93" i="3"/>
  <c r="G92" i="3"/>
  <c r="F92" i="3"/>
  <c r="E92" i="3"/>
  <c r="D92" i="3"/>
  <c r="I91" i="3"/>
  <c r="J90" i="3"/>
  <c r="I90" i="3"/>
  <c r="G89" i="3"/>
  <c r="F89" i="3"/>
  <c r="F88" i="3" s="1"/>
  <c r="I86" i="3"/>
  <c r="I85" i="3"/>
  <c r="I84" i="3"/>
  <c r="F83" i="3"/>
  <c r="F82" i="3"/>
  <c r="I81" i="3"/>
  <c r="I80" i="3"/>
  <c r="I79" i="3"/>
  <c r="I78" i="3"/>
  <c r="G77" i="3"/>
  <c r="F77" i="3"/>
  <c r="E77" i="3"/>
  <c r="I76" i="3"/>
  <c r="I75" i="3"/>
  <c r="I74" i="3"/>
  <c r="I73" i="3"/>
  <c r="I72" i="3"/>
  <c r="I71" i="3"/>
  <c r="I70" i="3"/>
  <c r="I69" i="3"/>
  <c r="I68" i="3"/>
  <c r="G67" i="3"/>
  <c r="I67" i="3" s="1"/>
  <c r="F67" i="3"/>
  <c r="J66" i="3"/>
  <c r="I66" i="3"/>
  <c r="J65" i="3"/>
  <c r="I65" i="3"/>
  <c r="G64" i="3"/>
  <c r="I64" i="3" s="1"/>
  <c r="F64" i="3"/>
  <c r="J62" i="3"/>
  <c r="I62" i="3"/>
  <c r="G61" i="3"/>
  <c r="F61" i="3"/>
  <c r="J61" i="3" s="1"/>
  <c r="E61" i="3"/>
  <c r="D61" i="3"/>
  <c r="I60" i="3"/>
  <c r="I59" i="3"/>
  <c r="J58" i="3"/>
  <c r="I58" i="3"/>
  <c r="J57" i="3"/>
  <c r="I57" i="3"/>
  <c r="J56" i="3"/>
  <c r="I56" i="3"/>
  <c r="J55" i="3"/>
  <c r="I55" i="3"/>
  <c r="I54" i="3"/>
  <c r="I53" i="3"/>
  <c r="I52" i="3"/>
  <c r="I51" i="3"/>
  <c r="G50" i="3"/>
  <c r="E50" i="3"/>
  <c r="E49" i="3" s="1"/>
  <c r="I48" i="3"/>
  <c r="G47" i="3"/>
  <c r="F47" i="3"/>
  <c r="G46" i="3"/>
  <c r="F46" i="3"/>
  <c r="I45" i="3"/>
  <c r="G44" i="3"/>
  <c r="F44" i="3"/>
  <c r="E44" i="3"/>
  <c r="J43" i="3"/>
  <c r="I43" i="3"/>
  <c r="G42" i="3"/>
  <c r="F42" i="3"/>
  <c r="J41" i="3"/>
  <c r="I41" i="3"/>
  <c r="J40" i="3"/>
  <c r="F39" i="3"/>
  <c r="I38" i="3"/>
  <c r="G38" i="3"/>
  <c r="I37" i="3"/>
  <c r="J36" i="3"/>
  <c r="I36" i="3"/>
  <c r="I35" i="3"/>
  <c r="G34" i="3"/>
  <c r="F34" i="3"/>
  <c r="I33" i="3"/>
  <c r="G32" i="3"/>
  <c r="I30" i="3"/>
  <c r="I29" i="3"/>
  <c r="I28" i="3"/>
  <c r="G28" i="3"/>
  <c r="I26" i="3"/>
  <c r="I25" i="3"/>
  <c r="I24" i="3"/>
  <c r="J23" i="3"/>
  <c r="I22" i="3"/>
  <c r="I21" i="3"/>
  <c r="I20" i="3"/>
  <c r="I19" i="3"/>
  <c r="I18" i="3"/>
  <c r="I17" i="3"/>
  <c r="I16" i="3"/>
  <c r="I15" i="3"/>
  <c r="J14" i="3"/>
  <c r="I14" i="3"/>
  <c r="G13" i="3"/>
  <c r="F13" i="3"/>
  <c r="E13" i="3"/>
  <c r="J12" i="3"/>
  <c r="I12" i="3"/>
  <c r="J11" i="3"/>
  <c r="I10" i="3"/>
  <c r="J9" i="3"/>
  <c r="I8" i="3"/>
  <c r="H7" i="3"/>
  <c r="F7" i="3"/>
  <c r="D7" i="3"/>
  <c r="H4" i="3"/>
  <c r="E121" i="2"/>
  <c r="E96" i="2"/>
  <c r="E92" i="2"/>
  <c r="E77" i="2"/>
  <c r="D61" i="2"/>
  <c r="E61" i="2"/>
  <c r="F61" i="2"/>
  <c r="E50" i="2"/>
  <c r="E49" i="2" s="1"/>
  <c r="E44" i="2"/>
  <c r="E13" i="2"/>
  <c r="K13" i="3" l="1"/>
  <c r="L13" i="3"/>
  <c r="J114" i="3"/>
  <c r="J92" i="3"/>
  <c r="G88" i="3"/>
  <c r="I88" i="3" s="1"/>
  <c r="I77" i="3"/>
  <c r="J50" i="3"/>
  <c r="I112" i="3"/>
  <c r="F112" i="3"/>
  <c r="F95" i="3"/>
  <c r="F87" i="3" s="1"/>
  <c r="I96" i="3"/>
  <c r="J89" i="3"/>
  <c r="I44" i="3"/>
  <c r="F31" i="3"/>
  <c r="F6" i="3"/>
  <c r="I13" i="3"/>
  <c r="I9" i="3"/>
  <c r="J13" i="3"/>
  <c r="I23" i="3"/>
  <c r="I34" i="3"/>
  <c r="J34" i="3"/>
  <c r="I47" i="3"/>
  <c r="I11" i="3"/>
  <c r="I27" i="3"/>
  <c r="I42" i="3"/>
  <c r="J42" i="3"/>
  <c r="I46" i="3"/>
  <c r="I116" i="3"/>
  <c r="F5" i="3"/>
  <c r="J64" i="3"/>
  <c r="J96" i="3"/>
  <c r="J106" i="3"/>
  <c r="J112" i="3"/>
  <c r="J116" i="3"/>
  <c r="G7" i="3"/>
  <c r="J8" i="3"/>
  <c r="I32" i="3"/>
  <c r="J35" i="3"/>
  <c r="I40" i="3"/>
  <c r="G49" i="3"/>
  <c r="I50" i="3"/>
  <c r="I61" i="3"/>
  <c r="I89" i="3"/>
  <c r="I92" i="3"/>
  <c r="G105" i="3"/>
  <c r="I107" i="3"/>
  <c r="I114" i="3"/>
  <c r="I117" i="3"/>
  <c r="G39" i="3"/>
  <c r="G31" i="3" s="1"/>
  <c r="G83" i="3"/>
  <c r="L120" i="2"/>
  <c r="K120" i="2"/>
  <c r="J120" i="2"/>
  <c r="I120" i="2"/>
  <c r="L119" i="2"/>
  <c r="K119" i="2"/>
  <c r="J119" i="2"/>
  <c r="I119" i="2"/>
  <c r="L118" i="2"/>
  <c r="K118" i="2"/>
  <c r="J118" i="2"/>
  <c r="I118" i="2"/>
  <c r="G117" i="2"/>
  <c r="L117" i="2" s="1"/>
  <c r="F117" i="2"/>
  <c r="F116" i="2" s="1"/>
  <c r="L115" i="2"/>
  <c r="K115" i="2"/>
  <c r="J115" i="2"/>
  <c r="I115" i="2"/>
  <c r="G114" i="2"/>
  <c r="F114" i="2"/>
  <c r="F112" i="2" s="1"/>
  <c r="L113" i="2"/>
  <c r="K113" i="2"/>
  <c r="J113" i="2"/>
  <c r="I113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8" i="2"/>
  <c r="K108" i="2"/>
  <c r="J108" i="2"/>
  <c r="I108" i="2"/>
  <c r="L107" i="2"/>
  <c r="G107" i="2"/>
  <c r="K107" i="2" s="1"/>
  <c r="F107" i="2"/>
  <c r="K106" i="2"/>
  <c r="G106" i="2"/>
  <c r="L106" i="2" s="1"/>
  <c r="F105" i="2"/>
  <c r="L104" i="2"/>
  <c r="I104" i="2"/>
  <c r="L103" i="2"/>
  <c r="K103" i="2"/>
  <c r="J103" i="2"/>
  <c r="I103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L99" i="2"/>
  <c r="K99" i="2"/>
  <c r="J99" i="2"/>
  <c r="I99" i="2"/>
  <c r="L98" i="2"/>
  <c r="K98" i="2"/>
  <c r="J98" i="2"/>
  <c r="I98" i="2"/>
  <c r="L97" i="2"/>
  <c r="K97" i="2"/>
  <c r="I97" i="2"/>
  <c r="G96" i="2"/>
  <c r="J96" i="2" s="1"/>
  <c r="F96" i="2"/>
  <c r="F95" i="2" s="1"/>
  <c r="D96" i="2"/>
  <c r="L94" i="2"/>
  <c r="K94" i="2"/>
  <c r="J94" i="2"/>
  <c r="I94" i="2"/>
  <c r="L93" i="2"/>
  <c r="K93" i="2"/>
  <c r="J93" i="2"/>
  <c r="I93" i="2"/>
  <c r="G92" i="2"/>
  <c r="F92" i="2"/>
  <c r="J92" i="2" s="1"/>
  <c r="D92" i="2"/>
  <c r="L91" i="2"/>
  <c r="K91" i="2"/>
  <c r="J91" i="2"/>
  <c r="I91" i="2"/>
  <c r="L90" i="2"/>
  <c r="K90" i="2"/>
  <c r="J90" i="2"/>
  <c r="I90" i="2"/>
  <c r="K89" i="2"/>
  <c r="J89" i="2"/>
  <c r="I89" i="2"/>
  <c r="G89" i="2"/>
  <c r="L89" i="2" s="1"/>
  <c r="F89" i="2"/>
  <c r="G88" i="2"/>
  <c r="L86" i="2"/>
  <c r="G86" i="2"/>
  <c r="I86" i="2" s="1"/>
  <c r="G85" i="2"/>
  <c r="L85" i="2" s="1"/>
  <c r="G84" i="2"/>
  <c r="F83" i="2"/>
  <c r="F82" i="2" s="1"/>
  <c r="L81" i="2"/>
  <c r="I81" i="2"/>
  <c r="L80" i="2"/>
  <c r="I80" i="2"/>
  <c r="L79" i="2"/>
  <c r="I79" i="2"/>
  <c r="L78" i="2"/>
  <c r="I78" i="2"/>
  <c r="G77" i="2"/>
  <c r="L77" i="2" s="1"/>
  <c r="F77" i="2"/>
  <c r="L76" i="2"/>
  <c r="I76" i="2"/>
  <c r="L75" i="2"/>
  <c r="I75" i="2"/>
  <c r="L74" i="2"/>
  <c r="I74" i="2"/>
  <c r="L73" i="2"/>
  <c r="I73" i="2"/>
  <c r="L72" i="2"/>
  <c r="I72" i="2"/>
  <c r="L71" i="2"/>
  <c r="I71" i="2"/>
  <c r="L70" i="2"/>
  <c r="I70" i="2"/>
  <c r="L69" i="2"/>
  <c r="I69" i="2"/>
  <c r="L68" i="2"/>
  <c r="I68" i="2"/>
  <c r="G67" i="2"/>
  <c r="L67" i="2" s="1"/>
  <c r="F67" i="2"/>
  <c r="L66" i="2"/>
  <c r="K66" i="2"/>
  <c r="J66" i="2"/>
  <c r="I66" i="2"/>
  <c r="L65" i="2"/>
  <c r="K65" i="2"/>
  <c r="J65" i="2"/>
  <c r="I65" i="2"/>
  <c r="G64" i="2"/>
  <c r="F64" i="2"/>
  <c r="L62" i="2"/>
  <c r="K62" i="2"/>
  <c r="J62" i="2"/>
  <c r="I62" i="2"/>
  <c r="G61" i="2"/>
  <c r="L60" i="2"/>
  <c r="I60" i="2"/>
  <c r="L59" i="2"/>
  <c r="I59" i="2"/>
  <c r="L58" i="2"/>
  <c r="K58" i="2"/>
  <c r="J58" i="2"/>
  <c r="I58" i="2"/>
  <c r="L57" i="2"/>
  <c r="K57" i="2"/>
  <c r="J57" i="2"/>
  <c r="I57" i="2"/>
  <c r="L56" i="2"/>
  <c r="K56" i="2"/>
  <c r="J56" i="2"/>
  <c r="I56" i="2"/>
  <c r="L55" i="2"/>
  <c r="K55" i="2"/>
  <c r="J55" i="2"/>
  <c r="I55" i="2"/>
  <c r="L54" i="2"/>
  <c r="I54" i="2"/>
  <c r="L53" i="2"/>
  <c r="I53" i="2"/>
  <c r="L52" i="2"/>
  <c r="I52" i="2"/>
  <c r="L51" i="2"/>
  <c r="I51" i="2"/>
  <c r="K50" i="2"/>
  <c r="G50" i="2"/>
  <c r="F50" i="2"/>
  <c r="J50" i="2" s="1"/>
  <c r="G49" i="2"/>
  <c r="L48" i="2"/>
  <c r="I48" i="2"/>
  <c r="G47" i="2"/>
  <c r="F47" i="2"/>
  <c r="G46" i="2"/>
  <c r="L46" i="2" s="1"/>
  <c r="F46" i="2"/>
  <c r="L45" i="2"/>
  <c r="I45" i="2"/>
  <c r="G44" i="2"/>
  <c r="L44" i="2" s="1"/>
  <c r="F44" i="2"/>
  <c r="L43" i="2"/>
  <c r="J43" i="2"/>
  <c r="I43" i="2"/>
  <c r="K42" i="2"/>
  <c r="J42" i="2"/>
  <c r="G42" i="2"/>
  <c r="L42" i="2" s="1"/>
  <c r="F42" i="2"/>
  <c r="L41" i="2"/>
  <c r="K41" i="2"/>
  <c r="J41" i="2"/>
  <c r="I41" i="2"/>
  <c r="G40" i="2"/>
  <c r="G39" i="2" s="1"/>
  <c r="K39" i="2" s="1"/>
  <c r="F39" i="2"/>
  <c r="G38" i="2"/>
  <c r="L38" i="2" s="1"/>
  <c r="G37" i="2"/>
  <c r="L37" i="2" s="1"/>
  <c r="L36" i="2"/>
  <c r="K36" i="2"/>
  <c r="J36" i="2"/>
  <c r="I36" i="2"/>
  <c r="G35" i="2"/>
  <c r="L35" i="2" s="1"/>
  <c r="F34" i="2"/>
  <c r="F31" i="2" s="1"/>
  <c r="L33" i="2"/>
  <c r="I33" i="2"/>
  <c r="G32" i="2"/>
  <c r="L32" i="2" s="1"/>
  <c r="L30" i="2"/>
  <c r="G30" i="2"/>
  <c r="I30" i="2" s="1"/>
  <c r="G29" i="2"/>
  <c r="L29" i="2" s="1"/>
  <c r="L28" i="2"/>
  <c r="G28" i="2"/>
  <c r="I28" i="2" s="1"/>
  <c r="G27" i="2"/>
  <c r="L27" i="2" s="1"/>
  <c r="G26" i="2"/>
  <c r="L26" i="2" s="1"/>
  <c r="G25" i="2"/>
  <c r="L25" i="2" s="1"/>
  <c r="G24" i="2"/>
  <c r="I24" i="2" s="1"/>
  <c r="G23" i="2"/>
  <c r="J23" i="2" s="1"/>
  <c r="G22" i="2"/>
  <c r="I22" i="2" s="1"/>
  <c r="G21" i="2"/>
  <c r="L21" i="2" s="1"/>
  <c r="G20" i="2"/>
  <c r="L20" i="2" s="1"/>
  <c r="G19" i="2"/>
  <c r="L19" i="2" s="1"/>
  <c r="G18" i="2"/>
  <c r="I18" i="2" s="1"/>
  <c r="L17" i="2"/>
  <c r="G17" i="2"/>
  <c r="I17" i="2" s="1"/>
  <c r="L16" i="2"/>
  <c r="I16" i="2"/>
  <c r="G16" i="2"/>
  <c r="L15" i="2"/>
  <c r="I15" i="2"/>
  <c r="L14" i="2"/>
  <c r="K14" i="2"/>
  <c r="J14" i="2"/>
  <c r="I14" i="2"/>
  <c r="F13" i="2"/>
  <c r="K12" i="2"/>
  <c r="J12" i="2"/>
  <c r="G12" i="2"/>
  <c r="L12" i="2" s="1"/>
  <c r="G11" i="2"/>
  <c r="I11" i="2" s="1"/>
  <c r="L10" i="2"/>
  <c r="G10" i="2"/>
  <c r="I10" i="2" s="1"/>
  <c r="G9" i="2"/>
  <c r="I9" i="2" s="1"/>
  <c r="G8" i="2"/>
  <c r="L8" i="2" s="1"/>
  <c r="H7" i="2"/>
  <c r="F7" i="2"/>
  <c r="D7" i="2"/>
  <c r="H4" i="2"/>
  <c r="J88" i="3" l="1"/>
  <c r="F121" i="3"/>
  <c r="G82" i="3"/>
  <c r="I83" i="3"/>
  <c r="J31" i="3"/>
  <c r="I31" i="3"/>
  <c r="J39" i="3"/>
  <c r="I39" i="3"/>
  <c r="J105" i="3"/>
  <c r="I105" i="3"/>
  <c r="G95" i="3"/>
  <c r="J49" i="3"/>
  <c r="I49" i="3"/>
  <c r="I7" i="3"/>
  <c r="G6" i="3"/>
  <c r="J7" i="3"/>
  <c r="F6" i="2"/>
  <c r="L9" i="2"/>
  <c r="L22" i="2"/>
  <c r="I27" i="2"/>
  <c r="I47" i="2"/>
  <c r="I64" i="2"/>
  <c r="K117" i="2"/>
  <c r="I21" i="2"/>
  <c r="I25" i="2"/>
  <c r="J35" i="2"/>
  <c r="L47" i="2"/>
  <c r="J64" i="2"/>
  <c r="I96" i="2"/>
  <c r="G105" i="2"/>
  <c r="I106" i="2"/>
  <c r="I12" i="2"/>
  <c r="G13" i="2"/>
  <c r="L13" i="2" s="1"/>
  <c r="I19" i="2"/>
  <c r="L23" i="2"/>
  <c r="I42" i="2"/>
  <c r="I50" i="2"/>
  <c r="K64" i="2"/>
  <c r="K92" i="2"/>
  <c r="K96" i="2"/>
  <c r="J106" i="2"/>
  <c r="J40" i="2"/>
  <c r="I40" i="2"/>
  <c r="K49" i="2"/>
  <c r="K61" i="2"/>
  <c r="J61" i="2"/>
  <c r="J8" i="2"/>
  <c r="G7" i="2"/>
  <c r="J11" i="2"/>
  <c r="I38" i="2"/>
  <c r="I39" i="2"/>
  <c r="K40" i="2"/>
  <c r="I44" i="2"/>
  <c r="I46" i="2"/>
  <c r="I61" i="2"/>
  <c r="I67" i="2"/>
  <c r="I77" i="2"/>
  <c r="I85" i="2"/>
  <c r="K88" i="2"/>
  <c r="J114" i="2"/>
  <c r="G112" i="2"/>
  <c r="I114" i="2"/>
  <c r="I8" i="2"/>
  <c r="J9" i="2"/>
  <c r="K11" i="2"/>
  <c r="L18" i="2"/>
  <c r="I20" i="2"/>
  <c r="I23" i="2"/>
  <c r="L24" i="2"/>
  <c r="I26" i="2"/>
  <c r="I29" i="2"/>
  <c r="K35" i="2"/>
  <c r="G34" i="2"/>
  <c r="J39" i="2"/>
  <c r="L40" i="2"/>
  <c r="L49" i="2"/>
  <c r="L61" i="2"/>
  <c r="L88" i="2"/>
  <c r="I92" i="2"/>
  <c r="L96" i="2"/>
  <c r="K114" i="2"/>
  <c r="K8" i="2"/>
  <c r="K9" i="2"/>
  <c r="L11" i="2"/>
  <c r="K13" i="2"/>
  <c r="K23" i="2"/>
  <c r="I32" i="2"/>
  <c r="I35" i="2"/>
  <c r="I37" i="2"/>
  <c r="L39" i="2"/>
  <c r="F49" i="2"/>
  <c r="L84" i="2"/>
  <c r="I84" i="2"/>
  <c r="G83" i="2"/>
  <c r="F88" i="2"/>
  <c r="F87" i="2" s="1"/>
  <c r="J107" i="2"/>
  <c r="I107" i="2"/>
  <c r="L114" i="2"/>
  <c r="J117" i="2"/>
  <c r="G116" i="2"/>
  <c r="I117" i="2"/>
  <c r="L50" i="2"/>
  <c r="L64" i="2"/>
  <c r="L92" i="2"/>
  <c r="L105" i="2"/>
  <c r="K119" i="1"/>
  <c r="J119" i="1"/>
  <c r="I119" i="1"/>
  <c r="H119" i="1"/>
  <c r="K118" i="1"/>
  <c r="J118" i="1"/>
  <c r="I118" i="1"/>
  <c r="H118" i="1"/>
  <c r="K117" i="1"/>
  <c r="J117" i="1"/>
  <c r="I117" i="1"/>
  <c r="H117" i="1"/>
  <c r="F116" i="1"/>
  <c r="E116" i="1"/>
  <c r="E115" i="1" s="1"/>
  <c r="K114" i="1"/>
  <c r="J114" i="1"/>
  <c r="I114" i="1"/>
  <c r="H114" i="1"/>
  <c r="F113" i="1"/>
  <c r="E113" i="1"/>
  <c r="K112" i="1"/>
  <c r="J112" i="1"/>
  <c r="I112" i="1"/>
  <c r="H112" i="1"/>
  <c r="E111" i="1"/>
  <c r="K110" i="1"/>
  <c r="J110" i="1"/>
  <c r="I110" i="1"/>
  <c r="H110" i="1"/>
  <c r="K109" i="1"/>
  <c r="J109" i="1"/>
  <c r="I109" i="1"/>
  <c r="H109" i="1"/>
  <c r="K108" i="1"/>
  <c r="J108" i="1"/>
  <c r="I108" i="1"/>
  <c r="H108" i="1"/>
  <c r="K107" i="1"/>
  <c r="J107" i="1"/>
  <c r="I107" i="1"/>
  <c r="H107" i="1"/>
  <c r="F106" i="1"/>
  <c r="E106" i="1"/>
  <c r="F105" i="1"/>
  <c r="J105" i="1" s="1"/>
  <c r="E104" i="1"/>
  <c r="K103" i="1"/>
  <c r="H103" i="1"/>
  <c r="K102" i="1"/>
  <c r="J102" i="1"/>
  <c r="I102" i="1"/>
  <c r="H102" i="1"/>
  <c r="K101" i="1"/>
  <c r="J101" i="1"/>
  <c r="I101" i="1"/>
  <c r="H101" i="1"/>
  <c r="K100" i="1"/>
  <c r="J100" i="1"/>
  <c r="I100" i="1"/>
  <c r="H100" i="1"/>
  <c r="K99" i="1"/>
  <c r="J99" i="1"/>
  <c r="I99" i="1"/>
  <c r="H99" i="1"/>
  <c r="K98" i="1"/>
  <c r="J98" i="1"/>
  <c r="I98" i="1"/>
  <c r="H98" i="1"/>
  <c r="K97" i="1"/>
  <c r="J97" i="1"/>
  <c r="I97" i="1"/>
  <c r="H97" i="1"/>
  <c r="K96" i="1"/>
  <c r="J96" i="1"/>
  <c r="H96" i="1"/>
  <c r="F95" i="1"/>
  <c r="J95" i="1" s="1"/>
  <c r="E95" i="1"/>
  <c r="E94" i="1" s="1"/>
  <c r="D95" i="1"/>
  <c r="K93" i="1"/>
  <c r="J93" i="1"/>
  <c r="I93" i="1"/>
  <c r="H93" i="1"/>
  <c r="K92" i="1"/>
  <c r="J92" i="1"/>
  <c r="I92" i="1"/>
  <c r="H92" i="1"/>
  <c r="F91" i="1"/>
  <c r="K91" i="1" s="1"/>
  <c r="E91" i="1"/>
  <c r="D91" i="1"/>
  <c r="K90" i="1"/>
  <c r="J90" i="1"/>
  <c r="I90" i="1"/>
  <c r="H90" i="1"/>
  <c r="K89" i="1"/>
  <c r="J89" i="1"/>
  <c r="I89" i="1"/>
  <c r="H89" i="1"/>
  <c r="F88" i="1"/>
  <c r="J88" i="1" s="1"/>
  <c r="E88" i="1"/>
  <c r="E87" i="1" s="1"/>
  <c r="F85" i="1"/>
  <c r="H85" i="1" s="1"/>
  <c r="F84" i="1"/>
  <c r="K84" i="1" s="1"/>
  <c r="F83" i="1"/>
  <c r="H83" i="1" s="1"/>
  <c r="E82" i="1"/>
  <c r="E81" i="1"/>
  <c r="K80" i="1"/>
  <c r="H80" i="1"/>
  <c r="K79" i="1"/>
  <c r="H79" i="1"/>
  <c r="K78" i="1"/>
  <c r="H78" i="1"/>
  <c r="K77" i="1"/>
  <c r="H77" i="1"/>
  <c r="F76" i="1"/>
  <c r="K76" i="1" s="1"/>
  <c r="E76" i="1"/>
  <c r="H76" i="1" s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F66" i="1"/>
  <c r="E66" i="1"/>
  <c r="K65" i="1"/>
  <c r="J65" i="1"/>
  <c r="I65" i="1"/>
  <c r="H65" i="1"/>
  <c r="K64" i="1"/>
  <c r="J64" i="1"/>
  <c r="I64" i="1"/>
  <c r="H64" i="1"/>
  <c r="F63" i="1"/>
  <c r="K63" i="1" s="1"/>
  <c r="E63" i="1"/>
  <c r="K62" i="1"/>
  <c r="J62" i="1"/>
  <c r="I62" i="1"/>
  <c r="H62" i="1"/>
  <c r="F61" i="1"/>
  <c r="K61" i="1" s="1"/>
  <c r="E61" i="1"/>
  <c r="K60" i="1"/>
  <c r="H60" i="1"/>
  <c r="K59" i="1"/>
  <c r="H59" i="1"/>
  <c r="K58" i="1"/>
  <c r="J58" i="1"/>
  <c r="I58" i="1"/>
  <c r="H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H54" i="1"/>
  <c r="K53" i="1"/>
  <c r="H53" i="1"/>
  <c r="K52" i="1"/>
  <c r="H52" i="1"/>
  <c r="K51" i="1"/>
  <c r="H51" i="1"/>
  <c r="F50" i="1"/>
  <c r="K50" i="1" s="1"/>
  <c r="E50" i="1"/>
  <c r="H50" i="1" s="1"/>
  <c r="K48" i="1"/>
  <c r="H48" i="1"/>
  <c r="F47" i="1"/>
  <c r="K47" i="1" s="1"/>
  <c r="E47" i="1"/>
  <c r="H47" i="1" s="1"/>
  <c r="F46" i="1"/>
  <c r="K46" i="1" s="1"/>
  <c r="E46" i="1"/>
  <c r="H46" i="1" s="1"/>
  <c r="K45" i="1"/>
  <c r="H45" i="1"/>
  <c r="F44" i="1"/>
  <c r="K44" i="1" s="1"/>
  <c r="E44" i="1"/>
  <c r="K43" i="1"/>
  <c r="I43" i="1"/>
  <c r="H43" i="1"/>
  <c r="I42" i="1"/>
  <c r="F42" i="1"/>
  <c r="J42" i="1" s="1"/>
  <c r="E42" i="1"/>
  <c r="K41" i="1"/>
  <c r="J41" i="1"/>
  <c r="I41" i="1"/>
  <c r="H41" i="1"/>
  <c r="F40" i="1"/>
  <c r="E39" i="1"/>
  <c r="E31" i="1" s="1"/>
  <c r="F38" i="1"/>
  <c r="K38" i="1" s="1"/>
  <c r="F37" i="1"/>
  <c r="K36" i="1"/>
  <c r="J36" i="1"/>
  <c r="I36" i="1"/>
  <c r="H36" i="1"/>
  <c r="F35" i="1"/>
  <c r="K35" i="1" s="1"/>
  <c r="E34" i="1"/>
  <c r="K33" i="1"/>
  <c r="H33" i="1"/>
  <c r="F32" i="1"/>
  <c r="F30" i="1"/>
  <c r="K30" i="1" s="1"/>
  <c r="F29" i="1"/>
  <c r="H29" i="1" s="1"/>
  <c r="F28" i="1"/>
  <c r="K28" i="1" s="1"/>
  <c r="F27" i="1"/>
  <c r="H27" i="1" s="1"/>
  <c r="F26" i="1"/>
  <c r="K26" i="1" s="1"/>
  <c r="F25" i="1"/>
  <c r="H25" i="1" s="1"/>
  <c r="F24" i="1"/>
  <c r="K24" i="1" s="1"/>
  <c r="K23" i="1"/>
  <c r="I23" i="1"/>
  <c r="F23" i="1"/>
  <c r="F22" i="1"/>
  <c r="K22" i="1" s="1"/>
  <c r="K21" i="1"/>
  <c r="F21" i="1"/>
  <c r="H21" i="1" s="1"/>
  <c r="F20" i="1"/>
  <c r="K20" i="1" s="1"/>
  <c r="F19" i="1"/>
  <c r="H19" i="1" s="1"/>
  <c r="F18" i="1"/>
  <c r="K18" i="1" s="1"/>
  <c r="F17" i="1"/>
  <c r="H17" i="1" s="1"/>
  <c r="F16" i="1"/>
  <c r="K16" i="1" s="1"/>
  <c r="K15" i="1"/>
  <c r="H15" i="1"/>
  <c r="K14" i="1"/>
  <c r="J14" i="1"/>
  <c r="I14" i="1"/>
  <c r="H14" i="1"/>
  <c r="E13" i="1"/>
  <c r="F12" i="1"/>
  <c r="I12" i="1" s="1"/>
  <c r="F11" i="1"/>
  <c r="K11" i="1" s="1"/>
  <c r="F10" i="1"/>
  <c r="H10" i="1" s="1"/>
  <c r="F9" i="1"/>
  <c r="K9" i="1" s="1"/>
  <c r="K8" i="1"/>
  <c r="F8" i="1"/>
  <c r="I8" i="1" s="1"/>
  <c r="G7" i="1"/>
  <c r="E7" i="1"/>
  <c r="E6" i="1" s="1"/>
  <c r="D7" i="1"/>
  <c r="G4" i="1"/>
  <c r="K6" i="3" l="1"/>
  <c r="L6" i="3"/>
  <c r="I6" i="3"/>
  <c r="J6" i="3"/>
  <c r="G5" i="3"/>
  <c r="I95" i="3"/>
  <c r="J95" i="3"/>
  <c r="G87" i="3"/>
  <c r="I82" i="3"/>
  <c r="F5" i="2"/>
  <c r="F121" i="2" s="1"/>
  <c r="J88" i="2"/>
  <c r="I49" i="2"/>
  <c r="J105" i="2"/>
  <c r="K105" i="2"/>
  <c r="I105" i="2"/>
  <c r="I13" i="2"/>
  <c r="J13" i="2"/>
  <c r="I88" i="2"/>
  <c r="G95" i="2"/>
  <c r="L116" i="2"/>
  <c r="K116" i="2"/>
  <c r="J116" i="2"/>
  <c r="I116" i="2"/>
  <c r="I83" i="2"/>
  <c r="G82" i="2"/>
  <c r="L83" i="2"/>
  <c r="K7" i="2"/>
  <c r="J7" i="2"/>
  <c r="G6" i="2"/>
  <c r="I7" i="2"/>
  <c r="L7" i="2"/>
  <c r="L34" i="2"/>
  <c r="I34" i="2"/>
  <c r="G31" i="2"/>
  <c r="K34" i="2"/>
  <c r="J34" i="2"/>
  <c r="L112" i="2"/>
  <c r="K112" i="2"/>
  <c r="J112" i="2"/>
  <c r="I112" i="2"/>
  <c r="J49" i="2"/>
  <c r="K12" i="1"/>
  <c r="H20" i="1"/>
  <c r="H30" i="1"/>
  <c r="H35" i="1"/>
  <c r="H61" i="1"/>
  <c r="J63" i="1"/>
  <c r="K85" i="1"/>
  <c r="I88" i="1"/>
  <c r="J91" i="1"/>
  <c r="I105" i="1"/>
  <c r="H116" i="1"/>
  <c r="H9" i="1"/>
  <c r="H11" i="1"/>
  <c r="H16" i="1"/>
  <c r="H18" i="1"/>
  <c r="H22" i="1"/>
  <c r="H26" i="1"/>
  <c r="H28" i="1"/>
  <c r="I35" i="1"/>
  <c r="H38" i="1"/>
  <c r="H44" i="1"/>
  <c r="J50" i="1"/>
  <c r="J61" i="1"/>
  <c r="H84" i="1"/>
  <c r="F87" i="1"/>
  <c r="H113" i="1"/>
  <c r="J9" i="1"/>
  <c r="J11" i="1"/>
  <c r="H24" i="1"/>
  <c r="J35" i="1"/>
  <c r="I61" i="1"/>
  <c r="H63" i="1"/>
  <c r="E86" i="1"/>
  <c r="H91" i="1"/>
  <c r="H106" i="1"/>
  <c r="K25" i="1"/>
  <c r="H32" i="1"/>
  <c r="H40" i="1"/>
  <c r="J40" i="1"/>
  <c r="F39" i="1"/>
  <c r="I40" i="1"/>
  <c r="F7" i="1"/>
  <c r="H8" i="1"/>
  <c r="J8" i="1"/>
  <c r="K17" i="1"/>
  <c r="K19" i="1"/>
  <c r="H23" i="1"/>
  <c r="J23" i="1"/>
  <c r="H37" i="1"/>
  <c r="K37" i="1"/>
  <c r="F34" i="1"/>
  <c r="F31" i="1" s="1"/>
  <c r="H87" i="1"/>
  <c r="K10" i="1"/>
  <c r="J12" i="1"/>
  <c r="H12" i="1"/>
  <c r="F13" i="1"/>
  <c r="K27" i="1"/>
  <c r="K29" i="1"/>
  <c r="K32" i="1"/>
  <c r="K40" i="1"/>
  <c r="K42" i="1"/>
  <c r="E49" i="1"/>
  <c r="E5" i="1" s="1"/>
  <c r="E120" i="1" s="1"/>
  <c r="K83" i="1"/>
  <c r="I87" i="1"/>
  <c r="K88" i="1"/>
  <c r="K95" i="1"/>
  <c r="K105" i="1"/>
  <c r="I106" i="1"/>
  <c r="F111" i="1"/>
  <c r="I113" i="1"/>
  <c r="F115" i="1"/>
  <c r="I116" i="1"/>
  <c r="I9" i="1"/>
  <c r="I11" i="1"/>
  <c r="H42" i="1"/>
  <c r="F49" i="1"/>
  <c r="I50" i="1"/>
  <c r="I63" i="1"/>
  <c r="J87" i="1"/>
  <c r="H88" i="1"/>
  <c r="I91" i="1"/>
  <c r="H95" i="1"/>
  <c r="H105" i="1"/>
  <c r="J106" i="1"/>
  <c r="J113" i="1"/>
  <c r="J116" i="1"/>
  <c r="K87" i="1"/>
  <c r="I95" i="1"/>
  <c r="K106" i="1"/>
  <c r="K113" i="1"/>
  <c r="K116" i="1"/>
  <c r="F82" i="1"/>
  <c r="F104" i="1"/>
  <c r="K5" i="3" l="1"/>
  <c r="L5" i="3"/>
  <c r="G121" i="3"/>
  <c r="I5" i="3"/>
  <c r="J5" i="3"/>
  <c r="J87" i="3"/>
  <c r="I87" i="3"/>
  <c r="K95" i="2"/>
  <c r="L95" i="2"/>
  <c r="J95" i="2"/>
  <c r="I95" i="2"/>
  <c r="G87" i="2"/>
  <c r="K31" i="2"/>
  <c r="I31" i="2"/>
  <c r="L31" i="2"/>
  <c r="J31" i="2"/>
  <c r="L87" i="2"/>
  <c r="K87" i="2"/>
  <c r="J87" i="2"/>
  <c r="I87" i="2"/>
  <c r="K6" i="2"/>
  <c r="G5" i="2"/>
  <c r="L6" i="2"/>
  <c r="J6" i="2"/>
  <c r="I6" i="2"/>
  <c r="I82" i="2"/>
  <c r="L82" i="2"/>
  <c r="I31" i="1"/>
  <c r="K31" i="1"/>
  <c r="J31" i="1"/>
  <c r="H31" i="1"/>
  <c r="J115" i="1"/>
  <c r="I115" i="1"/>
  <c r="H115" i="1"/>
  <c r="K115" i="1"/>
  <c r="H13" i="1"/>
  <c r="J13" i="1"/>
  <c r="K13" i="1"/>
  <c r="I13" i="1"/>
  <c r="I39" i="1"/>
  <c r="K39" i="1"/>
  <c r="J39" i="1"/>
  <c r="H39" i="1"/>
  <c r="K104" i="1"/>
  <c r="J104" i="1"/>
  <c r="I104" i="1"/>
  <c r="H104" i="1"/>
  <c r="F94" i="1"/>
  <c r="J34" i="1"/>
  <c r="H34" i="1"/>
  <c r="K34" i="1"/>
  <c r="I34" i="1"/>
  <c r="I49" i="1"/>
  <c r="H49" i="1"/>
  <c r="K49" i="1"/>
  <c r="J49" i="1"/>
  <c r="F81" i="1"/>
  <c r="K82" i="1"/>
  <c r="H82" i="1"/>
  <c r="J111" i="1"/>
  <c r="I111" i="1"/>
  <c r="H111" i="1"/>
  <c r="K111" i="1"/>
  <c r="I7" i="1"/>
  <c r="K7" i="1"/>
  <c r="F6" i="1"/>
  <c r="J7" i="1"/>
  <c r="H7" i="1"/>
  <c r="L121" i="3" l="1"/>
  <c r="K121" i="3"/>
  <c r="J121" i="3"/>
  <c r="I121" i="3"/>
  <c r="G121" i="2"/>
  <c r="I5" i="2"/>
  <c r="L5" i="2"/>
  <c r="K5" i="2"/>
  <c r="J5" i="2"/>
  <c r="I6" i="1"/>
  <c r="F5" i="1"/>
  <c r="K6" i="1"/>
  <c r="J6" i="1"/>
  <c r="H6" i="1"/>
  <c r="K81" i="1"/>
  <c r="H81" i="1"/>
  <c r="I94" i="1"/>
  <c r="H94" i="1"/>
  <c r="K94" i="1"/>
  <c r="J94" i="1"/>
  <c r="F86" i="1"/>
  <c r="L121" i="2" l="1"/>
  <c r="K121" i="2"/>
  <c r="J121" i="2"/>
  <c r="I121" i="2"/>
  <c r="F120" i="1"/>
  <c r="K5" i="1"/>
  <c r="I5" i="1"/>
  <c r="J5" i="1"/>
  <c r="H5" i="1"/>
  <c r="J86" i="1"/>
  <c r="I86" i="1"/>
  <c r="H86" i="1"/>
  <c r="K86" i="1"/>
  <c r="K120" i="1" l="1"/>
  <c r="J120" i="1"/>
  <c r="I120" i="1"/>
  <c r="H120" i="1"/>
</calcChain>
</file>

<file path=xl/comments1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koren</author>
  </authors>
  <commentList>
    <comment ref="C139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koren</author>
  </authors>
  <commentList>
    <comment ref="C138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<sst xmlns="http://schemas.openxmlformats.org/spreadsheetml/2006/main" count="1051" uniqueCount="147">
  <si>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за січень-березень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</si>
  <si>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</si>
  <si>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</si>
  <si>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</si>
  <si>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</si>
  <si>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</si>
  <si>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</si>
  <si>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факт на</t>
  </si>
  <si>
    <t>Відхилення факту від плану січня-березня 2015р.</t>
  </si>
  <si>
    <t>% виконання до плану січня-березня 2015 року</t>
  </si>
  <si>
    <t xml:space="preserve"> % виконання до річного розпису</t>
  </si>
  <si>
    <t>Відхилення факту від річного розпису 2015р.</t>
  </si>
  <si>
    <t>Податкові надходження</t>
  </si>
  <si>
    <t>Поддатки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</si>
  <si>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</si>
  <si>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</si>
  <si>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</si>
  <si>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</si>
  <si>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</si>
  <si>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</si>
  <si>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</si>
  <si>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</si>
  <si>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</si>
  <si>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</si>
  <si>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</si>
  <si>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</si>
  <si>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</si>
  <si>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</si>
  <si>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</si>
  <si>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</si>
  <si>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</si>
  <si>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</si>
  <si>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</si>
  <si>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</si>
  <si>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</si>
  <si>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</si>
  <si>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</si>
  <si>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</si>
  <si>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</si>
  <si>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</si>
  <si>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</si>
  <si>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</si>
  <si>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</si>
  <si>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</si>
  <si>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</si>
  <si>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</si>
  <si>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</si>
  <si>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</si>
  <si>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</si>
  <si>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</si>
  <si>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</si>
  <si>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</si>
  <si>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</si>
  <si>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</si>
  <si>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</si>
  <si>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</si>
  <si>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</si>
  <si>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</si>
  <si>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</si>
  <si>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</si>
  <si>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</si>
  <si>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</si>
  <si>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</si>
  <si>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</si>
  <si>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</si>
  <si>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</si>
  <si>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</si>
  <si>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</si>
  <si>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</si>
  <si>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</si>
  <si>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</si>
  <si>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</si>
  <si>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</si>
  <si>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</si>
  <si>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</si>
  <si>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</si>
  <si>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</si>
  <si>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</si>
  <si>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</si>
  <si>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</si>
  <si>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</si>
  <si>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</si>
  <si>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</si>
  <si>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</si>
  <si>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</si>
  <si>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</si>
  <si>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</si>
  <si>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</si>
  <si>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</si>
  <si>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</si>
  <si>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</si>
  <si>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</si>
  <si>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</si>
  <si>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</si>
  <si>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</si>
  <si>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</si>
  <si>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</si>
  <si>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</si>
  <si>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</si>
  <si>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</si>
  <si>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</si>
  <si>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</si>
  <si>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</si>
  <si>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</si>
  <si>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</si>
  <si>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</si>
  <si>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</si>
  <si>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</si>
  <si>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</si>
  <si>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</si>
  <si>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</si>
  <si>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</si>
  <si>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</si>
  <si>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</si>
  <si>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</si>
  <si>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</si>
  <si>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</si>
  <si>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</si>
  <si>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</si>
  <si>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</si>
  <si>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</si>
  <si>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</si>
  <si>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</si>
  <si>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</si>
  <si>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</si>
  <si>
    <t>План на січень-березень</t>
  </si>
  <si>
    <t>План за розписом на 2015 рік з урахуванням змін</t>
  </si>
  <si>
    <t>Податки на доходи, податок на прибуток, податки на збільшення податкової вартості</t>
  </si>
  <si>
    <t>Збір за місця для паркування транспортних засобів</t>
  </si>
  <si>
    <t>Збір за місця для паркування транспортних засобів, сплачений фіз.особами</t>
  </si>
  <si>
    <t>Збір за місця для паркування транспортних засобів, сплачений юр.особами</t>
  </si>
  <si>
    <t>План на січень-березень зі змінами</t>
  </si>
  <si>
    <t>Відхилення факту від плану січня-квітня 2015р.</t>
  </si>
  <si>
    <t>% виконання до плану січня-квітня 2015 року</t>
  </si>
  <si>
    <t>21081100, 21081500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</si>
  <si>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24 квітня 2015 року</t>
  </si>
  <si>
    <t>План на січень-квітень з урахуванням змін</t>
  </si>
  <si>
    <t>Відхилення факту від річного розпису 2015р. з урахуванням змін</t>
  </si>
  <si>
    <t xml:space="preserve"> % виконання до річного розпису з урахуванням змін</t>
  </si>
  <si>
    <t>План на січень-травень з урахуванням змін</t>
  </si>
  <si>
    <t>% виконання до плану січня-травень 2015 року</t>
  </si>
  <si>
    <t>Відхилення факту від плану січня-травень 2015р.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</si>
  <si>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8 травня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</si>
  <si>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22 травня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</si>
  <si>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15 травня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</si>
  <si>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29 травня 2015 року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</si>
  <si>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за січень - травень 2015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</si>
</sst>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52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36"/>
      <color indexed="8"/>
      <name val="Times New Roman"/>
      <family val="1"/>
      <charset val="204"/>
    </font>
    <font>
      <sz val="36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name val="Times New Roman Cyr"/>
      <charset val="204"/>
    </font>
    <font>
      <sz val="48"/>
      <name val="Times New Roman"/>
      <family val="1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b/>
      <i/>
      <sz val="48"/>
      <name val="Times New Roman"/>
      <family val="1"/>
      <charset val="204"/>
    </font>
    <font>
      <i/>
      <sz val="48"/>
      <name val="Times New Roman"/>
      <family val="1"/>
      <charset val="204"/>
    </font>
    <font>
      <sz val="28"/>
      <name val="Times New Roman"/>
      <family val="1"/>
      <charset val="204"/>
    </font>
    <font>
      <sz val="48"/>
      <name val="Times New Roman Cyr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50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50"/>
      <name val="Times New Roman Cyr"/>
      <family val="1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6" fillId="0" borderId="0"/>
  </cellStyleXfs>
  <cellXfs count="21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right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4" fontId="22" fillId="0" borderId="11" xfId="0" applyNumberFormat="1" applyFont="1" applyFill="1" applyBorder="1" applyAlignment="1">
      <alignment horizontal="right" vertical="center" wrapText="1"/>
    </xf>
    <xf numFmtId="165" fontId="22" fillId="0" borderId="11" xfId="0" applyNumberFormat="1" applyFont="1" applyFill="1" applyBorder="1" applyAlignment="1">
      <alignment horizontal="right" vertical="center" wrapText="1"/>
    </xf>
    <xf numFmtId="164" fontId="22" fillId="0" borderId="12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/>
    <xf numFmtId="0" fontId="24" fillId="0" borderId="14" xfId="0" applyFont="1" applyFill="1" applyBorder="1" applyAlignment="1">
      <alignment vertical="center"/>
    </xf>
    <xf numFmtId="2" fontId="22" fillId="0" borderId="10" xfId="0" applyNumberFormat="1" applyFont="1" applyFill="1" applyBorder="1" applyAlignment="1">
      <alignment horizontal="left" vertical="center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right" vertical="center" wrapText="1"/>
    </xf>
    <xf numFmtId="166" fontId="22" fillId="0" borderId="11" xfId="0" applyNumberFormat="1" applyFont="1" applyFill="1" applyBorder="1" applyAlignment="1">
      <alignment horizontal="right" vertical="center" wrapText="1"/>
    </xf>
    <xf numFmtId="0" fontId="26" fillId="0" borderId="15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27" fillId="0" borderId="11" xfId="0" applyNumberFormat="1" applyFont="1" applyFill="1" applyBorder="1" applyAlignment="1">
      <alignment horizontal="right" vertical="center" wrapText="1"/>
    </xf>
    <xf numFmtId="0" fontId="24" fillId="0" borderId="15" xfId="0" applyFont="1" applyFill="1" applyBorder="1" applyAlignment="1">
      <alignment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166" fontId="28" fillId="0" borderId="11" xfId="0" applyNumberFormat="1" applyFont="1" applyFill="1" applyBorder="1" applyAlignment="1">
      <alignment horizontal="right" vertical="center" wrapText="1"/>
    </xf>
    <xf numFmtId="166" fontId="24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2" fillId="0" borderId="19" xfId="0" applyNumberFormat="1" applyFont="1" applyFill="1" applyBorder="1" applyAlignment="1">
      <alignment horizontal="right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2" fillId="0" borderId="7" xfId="0" applyNumberFormat="1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horizontal="left" vertical="center" wrapText="1"/>
    </xf>
    <xf numFmtId="166" fontId="24" fillId="0" borderId="22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166" fontId="22" fillId="0" borderId="7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/>
    <xf numFmtId="0" fontId="7" fillId="0" borderId="2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vertical="center" wrapText="1" shrinkToFit="1"/>
    </xf>
    <xf numFmtId="0" fontId="20" fillId="0" borderId="27" xfId="0" applyFont="1" applyFill="1" applyBorder="1" applyAlignment="1">
      <alignment horizontal="left" vertical="center" wrapText="1"/>
    </xf>
    <xf numFmtId="166" fontId="20" fillId="0" borderId="25" xfId="0" applyNumberFormat="1" applyFont="1" applyFill="1" applyBorder="1" applyAlignment="1">
      <alignment horizontal="center" vertical="center" wrapText="1"/>
    </xf>
    <xf numFmtId="166" fontId="21" fillId="0" borderId="28" xfId="0" applyNumberFormat="1" applyFont="1" applyFill="1" applyBorder="1" applyAlignment="1">
      <alignment horizontal="right" vertical="center" wrapText="1"/>
    </xf>
    <xf numFmtId="166" fontId="30" fillId="0" borderId="28" xfId="0" applyNumberFormat="1" applyFont="1" applyFill="1" applyBorder="1" applyAlignment="1">
      <alignment horizontal="right" vertical="center" wrapText="1"/>
    </xf>
    <xf numFmtId="164" fontId="20" fillId="0" borderId="28" xfId="0" applyNumberFormat="1" applyFont="1" applyFill="1" applyBorder="1" applyAlignment="1">
      <alignment horizontal="right" vertical="center" wrapText="1"/>
    </xf>
    <xf numFmtId="165" fontId="20" fillId="0" borderId="11" xfId="0" applyNumberFormat="1" applyFont="1" applyFill="1" applyBorder="1" applyAlignment="1">
      <alignment horizontal="right" vertical="center" wrapText="1"/>
    </xf>
    <xf numFmtId="164" fontId="20" fillId="0" borderId="12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horizontal="left" vertical="center" wrapText="1"/>
    </xf>
    <xf numFmtId="166" fontId="32" fillId="0" borderId="7" xfId="0" applyNumberFormat="1" applyFont="1" applyFill="1" applyBorder="1" applyAlignment="1">
      <alignment horizontal="right" vertical="center" wrapText="1"/>
    </xf>
    <xf numFmtId="166" fontId="33" fillId="0" borderId="7" xfId="0" applyNumberFormat="1" applyFont="1" applyFill="1" applyBorder="1" applyAlignment="1">
      <alignment horizontal="right" vertical="center" wrapText="1"/>
    </xf>
    <xf numFmtId="164" fontId="33" fillId="0" borderId="7" xfId="0" applyNumberFormat="1" applyFont="1" applyFill="1" applyBorder="1" applyAlignment="1">
      <alignment horizontal="right" vertical="center" wrapText="1"/>
    </xf>
    <xf numFmtId="165" fontId="33" fillId="0" borderId="7" xfId="0" applyNumberFormat="1" applyFont="1" applyFill="1" applyBorder="1" applyAlignment="1">
      <alignment horizontal="right" vertical="center" wrapText="1"/>
    </xf>
    <xf numFmtId="164" fontId="33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horizontal="left" vertical="center" wrapText="1"/>
    </xf>
    <xf numFmtId="166" fontId="31" fillId="0" borderId="11" xfId="0" applyNumberFormat="1" applyFont="1" applyFill="1" applyBorder="1" applyAlignment="1">
      <alignment horizontal="right" vertical="center" wrapText="1"/>
    </xf>
    <xf numFmtId="166" fontId="33" fillId="0" borderId="11" xfId="1" applyNumberFormat="1" applyFont="1" applyFill="1" applyBorder="1" applyAlignment="1">
      <alignment horizontal="right" vertical="center" wrapText="1"/>
    </xf>
    <xf numFmtId="166" fontId="33" fillId="0" borderId="11" xfId="0" applyNumberFormat="1" applyFont="1" applyFill="1" applyBorder="1" applyAlignment="1">
      <alignment horizontal="right" vertical="center" wrapText="1"/>
    </xf>
    <xf numFmtId="164" fontId="33" fillId="0" borderId="11" xfId="0" applyNumberFormat="1" applyFont="1" applyFill="1" applyBorder="1" applyAlignment="1">
      <alignment horizontal="right" vertical="center" wrapText="1"/>
    </xf>
    <xf numFmtId="165" fontId="33" fillId="0" borderId="11" xfId="0" applyNumberFormat="1" applyFont="1" applyFill="1" applyBorder="1" applyAlignment="1">
      <alignment horizontal="right" vertical="center" wrapText="1"/>
    </xf>
    <xf numFmtId="164" fontId="33" fillId="0" borderId="15" xfId="0" applyNumberFormat="1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left" vertical="center" wrapText="1"/>
    </xf>
    <xf numFmtId="166" fontId="35" fillId="0" borderId="11" xfId="0" applyNumberFormat="1" applyFont="1" applyFill="1" applyBorder="1" applyAlignment="1">
      <alignment horizontal="right" vertical="center" wrapText="1"/>
    </xf>
    <xf numFmtId="166" fontId="32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33" fillId="0" borderId="17" xfId="0" applyNumberFormat="1" applyFont="1" applyFill="1" applyBorder="1" applyAlignment="1">
      <alignment horizontal="right" vertical="center" wrapText="1"/>
    </xf>
    <xf numFmtId="0" fontId="15" fillId="0" borderId="29" xfId="0" applyFont="1" applyFill="1" applyBorder="1" applyAlignment="1">
      <alignment horizontal="center" vertical="center" wrapText="1"/>
    </xf>
    <xf numFmtId="166" fontId="33" fillId="0" borderId="17" xfId="3" applyNumberFormat="1" applyFont="1" applyFill="1" applyBorder="1" applyAlignment="1" applyProtection="1">
      <alignment horizontal="left"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33" fillId="0" borderId="17" xfId="0" applyNumberFormat="1" applyFont="1" applyFill="1" applyBorder="1" applyAlignment="1">
      <alignment horizontal="right" vertical="center" wrapText="1"/>
    </xf>
    <xf numFmtId="165" fontId="33" fillId="0" borderId="30" xfId="0" applyNumberFormat="1" applyFont="1" applyFill="1" applyBorder="1" applyAlignment="1">
      <alignment horizontal="right" vertical="center" wrapText="1"/>
    </xf>
    <xf numFmtId="164" fontId="33" fillId="0" borderId="31" xfId="0" applyNumberFormat="1" applyFont="1" applyFill="1" applyBorder="1" applyAlignment="1">
      <alignment horizontal="right" vertical="center" wrapText="1"/>
    </xf>
    <xf numFmtId="0" fontId="15" fillId="0" borderId="30" xfId="0" applyFont="1" applyFill="1" applyBorder="1"/>
    <xf numFmtId="0" fontId="8" fillId="0" borderId="27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166" fontId="10" fillId="0" borderId="28" xfId="0" applyNumberFormat="1" applyFont="1" applyFill="1" applyBorder="1" applyAlignment="1">
      <alignment horizontal="right" vertical="center" wrapText="1"/>
    </xf>
    <xf numFmtId="164" fontId="10" fillId="0" borderId="28" xfId="0" applyNumberFormat="1" applyFont="1" applyFill="1" applyBorder="1" applyAlignment="1">
      <alignment horizontal="right" vertical="center" wrapText="1"/>
    </xf>
    <xf numFmtId="165" fontId="10" fillId="0" borderId="28" xfId="0" applyNumberFormat="1" applyFont="1" applyFill="1" applyBorder="1" applyAlignment="1">
      <alignment horizontal="right" vertical="center" wrapText="1"/>
    </xf>
    <xf numFmtId="164" fontId="10" fillId="0" borderId="26" xfId="0" applyNumberFormat="1" applyFont="1" applyFill="1" applyBorder="1" applyAlignment="1">
      <alignment horizontal="right" vertical="center" wrapText="1"/>
    </xf>
    <xf numFmtId="0" fontId="8" fillId="0" borderId="28" xfId="0" applyFont="1" applyFill="1" applyBorder="1"/>
    <xf numFmtId="166" fontId="37" fillId="0" borderId="0" xfId="0" applyNumberFormat="1" applyFont="1" applyFill="1" applyBorder="1"/>
    <xf numFmtId="0" fontId="0" fillId="0" borderId="0" xfId="0" applyFill="1" applyBorder="1"/>
    <xf numFmtId="0" fontId="37" fillId="0" borderId="0" xfId="0" applyFont="1" applyFill="1" applyBorder="1"/>
    <xf numFmtId="166" fontId="20" fillId="0" borderId="11" xfId="0" applyNumberFormat="1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vertical="center" wrapText="1"/>
    </xf>
    <xf numFmtId="166" fontId="31" fillId="0" borderId="7" xfId="0" applyNumberFormat="1" applyFont="1" applyFill="1" applyBorder="1" applyAlignment="1">
      <alignment horizontal="right" vertical="center" wrapText="1"/>
    </xf>
    <xf numFmtId="166" fontId="33" fillId="0" borderId="7" xfId="1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right" vertical="center" wrapText="1"/>
    </xf>
    <xf numFmtId="166" fontId="33" fillId="0" borderId="0" xfId="0" applyNumberFormat="1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right" vertical="center" wrapText="1"/>
    </xf>
    <xf numFmtId="165" fontId="33" fillId="0" borderId="0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right" vertical="center" wrapText="1"/>
    </xf>
    <xf numFmtId="164" fontId="22" fillId="0" borderId="17" xfId="0" applyNumberFormat="1" applyFont="1" applyFill="1" applyBorder="1" applyAlignment="1">
      <alignment horizontal="right" vertical="center" wrapText="1"/>
    </xf>
    <xf numFmtId="165" fontId="22" fillId="0" borderId="17" xfId="0" applyNumberFormat="1" applyFont="1" applyFill="1" applyBorder="1" applyAlignment="1">
      <alignment horizontal="right" vertical="center" wrapText="1"/>
    </xf>
    <xf numFmtId="164" fontId="22" fillId="0" borderId="33" xfId="0" applyNumberFormat="1" applyFont="1" applyFill="1" applyBorder="1" applyAlignment="1">
      <alignment horizontal="right" vertical="center" wrapText="1"/>
    </xf>
    <xf numFmtId="0" fontId="29" fillId="4" borderId="27" xfId="0" applyFont="1" applyFill="1" applyBorder="1" applyAlignment="1">
      <alignment vertical="center" wrapText="1" shrinkToFit="1"/>
    </xf>
    <xf numFmtId="165" fontId="20" fillId="0" borderId="28" xfId="0" applyNumberFormat="1" applyFont="1" applyFill="1" applyBorder="1" applyAlignment="1">
      <alignment horizontal="right" vertical="center" wrapText="1"/>
    </xf>
    <xf numFmtId="164" fontId="20" fillId="0" borderId="35" xfId="0" applyNumberFormat="1" applyFont="1" applyFill="1" applyBorder="1" applyAlignment="1">
      <alignment horizontal="right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6" fontId="28" fillId="0" borderId="11" xfId="0" applyNumberFormat="1" applyFont="1" applyFill="1" applyBorder="1" applyAlignment="1">
      <alignment horizontal="center" vertical="center" wrapText="1"/>
    </xf>
    <xf numFmtId="166" fontId="21" fillId="0" borderId="28" xfId="0" applyNumberFormat="1" applyFont="1" applyFill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166" fontId="22" fillId="5" borderId="11" xfId="0" applyNumberFormat="1" applyFont="1" applyFill="1" applyBorder="1" applyAlignment="1">
      <alignment horizontal="center" vertical="center" wrapText="1"/>
    </xf>
    <xf numFmtId="166" fontId="22" fillId="0" borderId="19" xfId="0" applyNumberFormat="1" applyFont="1" applyFill="1" applyBorder="1" applyAlignment="1">
      <alignment horizontal="center" vertical="center" wrapText="1"/>
    </xf>
    <xf numFmtId="166" fontId="22" fillId="0" borderId="22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164" fontId="22" fillId="0" borderId="17" xfId="0" applyNumberFormat="1" applyFont="1" applyFill="1" applyBorder="1" applyAlignment="1">
      <alignment horizontal="center" vertical="center" wrapText="1"/>
    </xf>
    <xf numFmtId="165" fontId="22" fillId="0" borderId="17" xfId="0" applyNumberFormat="1" applyFont="1" applyFill="1" applyBorder="1" applyAlignment="1">
      <alignment horizontal="center" vertical="center" wrapText="1"/>
    </xf>
    <xf numFmtId="164" fontId="22" fillId="0" borderId="33" xfId="0" applyNumberFormat="1" applyFont="1" applyFill="1" applyBorder="1" applyAlignment="1">
      <alignment horizontal="center" vertical="center" wrapText="1"/>
    </xf>
    <xf numFmtId="166" fontId="30" fillId="0" borderId="28" xfId="0" applyNumberFormat="1" applyFont="1" applyFill="1" applyBorder="1" applyAlignment="1">
      <alignment horizontal="center" vertical="center" wrapText="1"/>
    </xf>
    <xf numFmtId="164" fontId="20" fillId="0" borderId="28" xfId="0" applyNumberFormat="1" applyFont="1" applyFill="1" applyBorder="1" applyAlignment="1">
      <alignment horizontal="center" vertical="center" wrapText="1"/>
    </xf>
    <xf numFmtId="165" fontId="20" fillId="0" borderId="28" xfId="0" applyNumberFormat="1" applyFont="1" applyFill="1" applyBorder="1" applyAlignment="1">
      <alignment horizontal="center" vertical="center" wrapText="1"/>
    </xf>
    <xf numFmtId="164" fontId="20" fillId="0" borderId="35" xfId="0" applyNumberFormat="1" applyFont="1" applyFill="1" applyBorder="1" applyAlignment="1">
      <alignment horizontal="center" vertical="center" wrapText="1"/>
    </xf>
    <xf numFmtId="164" fontId="41" fillId="0" borderId="11" xfId="0" applyNumberFormat="1" applyFont="1" applyFill="1" applyBorder="1" applyAlignment="1">
      <alignment horizontal="center" vertical="center" wrapText="1"/>
    </xf>
    <xf numFmtId="164" fontId="42" fillId="0" borderId="11" xfId="0" applyNumberFormat="1" applyFont="1" applyFill="1" applyBorder="1" applyAlignment="1">
      <alignment horizontal="center" vertical="center" wrapText="1"/>
    </xf>
    <xf numFmtId="164" fontId="42" fillId="3" borderId="11" xfId="0" applyNumberFormat="1" applyFont="1" applyFill="1" applyBorder="1" applyAlignment="1">
      <alignment horizontal="center" vertical="center" wrapText="1"/>
    </xf>
    <xf numFmtId="164" fontId="43" fillId="0" borderId="11" xfId="0" applyNumberFormat="1" applyFont="1" applyFill="1" applyBorder="1" applyAlignment="1">
      <alignment horizontal="center" vertical="center" wrapText="1"/>
    </xf>
    <xf numFmtId="165" fontId="43" fillId="0" borderId="11" xfId="0" applyNumberFormat="1" applyFont="1" applyFill="1" applyBorder="1" applyAlignment="1">
      <alignment horizontal="center" vertical="center" wrapText="1"/>
    </xf>
    <xf numFmtId="164" fontId="43" fillId="0" borderId="12" xfId="0" applyNumberFormat="1" applyFont="1" applyFill="1" applyBorder="1" applyAlignment="1">
      <alignment horizontal="center" vertical="center" wrapText="1"/>
    </xf>
    <xf numFmtId="166" fontId="44" fillId="0" borderId="11" xfId="0" applyNumberFormat="1" applyFont="1" applyFill="1" applyBorder="1" applyAlignment="1">
      <alignment horizontal="center" vertical="center" wrapText="1"/>
    </xf>
    <xf numFmtId="166" fontId="41" fillId="0" borderId="11" xfId="0" applyNumberFormat="1" applyFont="1" applyFill="1" applyBorder="1" applyAlignment="1">
      <alignment horizontal="center" vertical="center" wrapText="1"/>
    </xf>
    <xf numFmtId="166" fontId="43" fillId="0" borderId="11" xfId="0" applyNumberFormat="1" applyFont="1" applyFill="1" applyBorder="1" applyAlignment="1">
      <alignment horizontal="center" vertical="center" wrapText="1"/>
    </xf>
    <xf numFmtId="166" fontId="45" fillId="0" borderId="11" xfId="0" applyNumberFormat="1" applyFont="1" applyFill="1" applyBorder="1" applyAlignment="1">
      <alignment horizontal="center" vertical="center" wrapText="1"/>
    </xf>
    <xf numFmtId="166" fontId="46" fillId="0" borderId="11" xfId="0" applyNumberFormat="1" applyFont="1" applyFill="1" applyBorder="1" applyAlignment="1">
      <alignment horizontal="center" vertical="center" wrapText="1"/>
    </xf>
    <xf numFmtId="166" fontId="47" fillId="0" borderId="11" xfId="0" applyNumberFormat="1" applyFont="1" applyFill="1" applyBorder="1" applyAlignment="1">
      <alignment horizontal="center" vertical="center" wrapText="1"/>
    </xf>
    <xf numFmtId="166" fontId="43" fillId="5" borderId="11" xfId="0" applyNumberFormat="1" applyFont="1" applyFill="1" applyBorder="1" applyAlignment="1">
      <alignment horizontal="center" vertical="center" wrapText="1"/>
    </xf>
    <xf numFmtId="166" fontId="48" fillId="0" borderId="11" xfId="0" applyNumberFormat="1" applyFont="1" applyFill="1" applyBorder="1" applyAlignment="1">
      <alignment horizontal="center" vertical="center" wrapText="1"/>
    </xf>
    <xf numFmtId="166" fontId="45" fillId="0" borderId="17" xfId="0" applyNumberFormat="1" applyFont="1" applyFill="1" applyBorder="1" applyAlignment="1">
      <alignment horizontal="center" vertical="center" wrapText="1"/>
    </xf>
    <xf numFmtId="166" fontId="43" fillId="0" borderId="17" xfId="0" applyNumberFormat="1" applyFont="1" applyFill="1" applyBorder="1" applyAlignment="1">
      <alignment horizontal="center" vertical="center" wrapText="1"/>
    </xf>
    <xf numFmtId="166" fontId="43" fillId="0" borderId="19" xfId="0" applyNumberFormat="1" applyFont="1" applyFill="1" applyBorder="1" applyAlignment="1">
      <alignment horizontal="center" vertical="center" wrapText="1"/>
    </xf>
    <xf numFmtId="166" fontId="45" fillId="0" borderId="7" xfId="0" applyNumberFormat="1" applyFont="1" applyFill="1" applyBorder="1" applyAlignment="1">
      <alignment horizontal="center" vertical="center" wrapText="1"/>
    </xf>
    <xf numFmtId="166" fontId="43" fillId="0" borderId="7" xfId="0" applyNumberFormat="1" applyFont="1" applyFill="1" applyBorder="1" applyAlignment="1">
      <alignment horizontal="center" vertical="center" wrapText="1"/>
    </xf>
    <xf numFmtId="166" fontId="45" fillId="0" borderId="22" xfId="0" applyNumberFormat="1" applyFont="1" applyFill="1" applyBorder="1" applyAlignment="1">
      <alignment horizontal="center" vertical="center" wrapText="1"/>
    </xf>
    <xf numFmtId="166" fontId="43" fillId="0" borderId="22" xfId="0" applyNumberFormat="1" applyFont="1" applyFill="1" applyBorder="1" applyAlignment="1">
      <alignment horizontal="center" vertical="center" wrapText="1"/>
    </xf>
    <xf numFmtId="166" fontId="49" fillId="0" borderId="17" xfId="0" applyNumberFormat="1" applyFont="1" applyFill="1" applyBorder="1" applyAlignment="1">
      <alignment horizontal="center" vertical="center" wrapText="1"/>
    </xf>
    <xf numFmtId="164" fontId="43" fillId="0" borderId="17" xfId="0" applyNumberFormat="1" applyFont="1" applyFill="1" applyBorder="1" applyAlignment="1">
      <alignment horizontal="center" vertical="center" wrapText="1"/>
    </xf>
    <xf numFmtId="165" fontId="43" fillId="0" borderId="17" xfId="0" applyNumberFormat="1" applyFont="1" applyFill="1" applyBorder="1" applyAlignment="1">
      <alignment horizontal="center" vertical="center" wrapText="1"/>
    </xf>
    <xf numFmtId="164" fontId="43" fillId="0" borderId="33" xfId="0" applyNumberFormat="1" applyFont="1" applyFill="1" applyBorder="1" applyAlignment="1">
      <alignment horizontal="center" vertical="center" wrapText="1"/>
    </xf>
    <xf numFmtId="166" fontId="41" fillId="0" borderId="25" xfId="0" applyNumberFormat="1" applyFont="1" applyFill="1" applyBorder="1" applyAlignment="1">
      <alignment horizontal="center" vertical="center" wrapText="1"/>
    </xf>
    <xf numFmtId="166" fontId="42" fillId="0" borderId="28" xfId="0" applyNumberFormat="1" applyFont="1" applyFill="1" applyBorder="1" applyAlignment="1">
      <alignment horizontal="center" vertical="center" wrapText="1"/>
    </xf>
    <xf numFmtId="166" fontId="49" fillId="0" borderId="28" xfId="0" applyNumberFormat="1" applyFont="1" applyFill="1" applyBorder="1" applyAlignment="1">
      <alignment horizontal="center" vertical="center" wrapText="1"/>
    </xf>
    <xf numFmtId="164" fontId="41" fillId="0" borderId="28" xfId="0" applyNumberFormat="1" applyFont="1" applyFill="1" applyBorder="1" applyAlignment="1">
      <alignment horizontal="center" vertical="center" wrapText="1"/>
    </xf>
    <xf numFmtId="165" fontId="41" fillId="0" borderId="28" xfId="0" applyNumberFormat="1" applyFont="1" applyFill="1" applyBorder="1" applyAlignment="1">
      <alignment horizontal="center" vertical="center" wrapText="1"/>
    </xf>
    <xf numFmtId="164" fontId="41" fillId="0" borderId="35" xfId="0" applyNumberFormat="1" applyFont="1" applyFill="1" applyBorder="1" applyAlignment="1">
      <alignment horizontal="center" vertical="center" wrapText="1"/>
    </xf>
    <xf numFmtId="166" fontId="41" fillId="5" borderId="11" xfId="0" applyNumberFormat="1" applyFont="1" applyFill="1" applyBorder="1" applyAlignment="1">
      <alignment horizontal="center" vertical="center" wrapText="1"/>
    </xf>
    <xf numFmtId="166" fontId="46" fillId="5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0" fillId="0" borderId="0" xfId="2" applyFont="1" applyFill="1" applyBorder="1" applyAlignment="1">
      <alignment horizontal="center" vertical="justify" wrapText="1"/>
    </xf>
    <xf numFmtId="0" fontId="51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tabSelected="1" view="pageBreakPreview" topLeftCell="A109" zoomScale="30" zoomScaleNormal="50" zoomScaleSheetLayoutView="30" workbookViewId="0">
      <selection activeCell="G48" sqref="G48"/>
    </sheetView>
  </sheetViews>
  <sheetFormatPr defaultRowHeight="25.5" x14ac:dyDescent="0.35"/>
  <cols>
    <col min="1" max="1" width="0.710937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5">
      <c r="A1" s="1"/>
      <c r="B1" s="2"/>
      <c r="C1" s="199" t="s">
        <v>146</v>
      </c>
      <c r="D1" s="199"/>
      <c r="E1" s="199"/>
      <c r="F1" s="199"/>
      <c r="G1" s="199"/>
      <c r="H1" s="199"/>
      <c r="I1" s="199"/>
      <c r="J1" s="200"/>
      <c r="K1" s="200"/>
      <c r="L1" s="200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139</v>
      </c>
      <c r="G3" s="10" t="s">
        <v>7</v>
      </c>
      <c r="H3" s="11" t="s">
        <v>7</v>
      </c>
      <c r="I3" s="197" t="s">
        <v>141</v>
      </c>
      <c r="J3" s="197" t="s">
        <v>140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42157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64">
        <v>1078584.8</v>
      </c>
      <c r="E5" s="165">
        <f>E6+E31+E44+E46+E49+E82</f>
        <v>1375229.5999999999</v>
      </c>
      <c r="F5" s="165">
        <f>F6+F31+F44+F46+F49+F82</f>
        <v>676993</v>
      </c>
      <c r="G5" s="165">
        <f>G6+G31+G44+G46+G49+G82</f>
        <v>711202.34456000011</v>
      </c>
      <c r="H5" s="166"/>
      <c r="I5" s="167">
        <f>G5-F5</f>
        <v>34209.344560000114</v>
      </c>
      <c r="J5" s="168">
        <f>G5/F5</f>
        <v>1.0505313120815136</v>
      </c>
      <c r="K5" s="168">
        <f>G5/E5</f>
        <v>0.51715171383745684</v>
      </c>
      <c r="L5" s="169">
        <f>G5-E5</f>
        <v>-664027.25543999975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64">
        <v>705340.9</v>
      </c>
      <c r="E6" s="165">
        <f>E7+E13</f>
        <v>770266.4</v>
      </c>
      <c r="F6" s="165">
        <f>F7+F13</f>
        <v>394798.9</v>
      </c>
      <c r="G6" s="165">
        <f>G7+G13</f>
        <v>424666.54171000014</v>
      </c>
      <c r="H6" s="166"/>
      <c r="I6" s="167">
        <f>G6-F6</f>
        <v>29867.641710000113</v>
      </c>
      <c r="J6" s="168">
        <f>G6/F6</f>
        <v>1.0756527987033402</v>
      </c>
      <c r="K6" s="168">
        <f t="shared" ref="K6:K66" si="0">G6/E6</f>
        <v>0.55132424536498037</v>
      </c>
      <c r="L6" s="169">
        <f t="shared" ref="L6:L69" si="1">G6-E6</f>
        <v>-345599.85828999989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170">
        <f>(SUM([1]Голосіїв!O12))/1000</f>
        <v>704381.4</v>
      </c>
      <c r="E7" s="171">
        <f>E8+E9+E11+E12+E10</f>
        <v>704381.4</v>
      </c>
      <c r="F7" s="171">
        <f>F8+F9+F11+F12+F10</f>
        <v>334510</v>
      </c>
      <c r="G7" s="195">
        <f>G8+G9+G11+G12+G10</f>
        <v>334138.2077100001</v>
      </c>
      <c r="H7" s="172">
        <f>('[1]класифікація (2011)'!C8-'[1]класифікація (2011)'!C12-'[1]класифікація (2011)'!C24)/1000</f>
        <v>93520.299014999997</v>
      </c>
      <c r="I7" s="167">
        <f>G7-F7</f>
        <v>-371.79228999989573</v>
      </c>
      <c r="J7" s="168">
        <f>G7/F7</f>
        <v>0.9988885465606413</v>
      </c>
      <c r="K7" s="168">
        <f t="shared" si="0"/>
        <v>0.4743711399960307</v>
      </c>
      <c r="L7" s="169">
        <f t="shared" si="1"/>
        <v>-370243.19228999992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173">
        <v>631281.4</v>
      </c>
      <c r="E8" s="173">
        <v>631281.4</v>
      </c>
      <c r="F8" s="173">
        <v>302810</v>
      </c>
      <c r="G8" s="172">
        <f>757030.41491-454218.24897</f>
        <v>302812.16594000004</v>
      </c>
      <c r="H8" s="172"/>
      <c r="I8" s="167">
        <f t="shared" ref="I8:I72" si="2">G8-F8</f>
        <v>2.1659400000353344</v>
      </c>
      <c r="J8" s="168">
        <f>G8/F8</f>
        <v>1.0000071528020873</v>
      </c>
      <c r="K8" s="168">
        <f t="shared" si="0"/>
        <v>0.47967858064565189</v>
      </c>
      <c r="L8" s="169">
        <f t="shared" si="1"/>
        <v>-328469.23405999999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173">
        <v>7200</v>
      </c>
      <c r="E9" s="173">
        <v>7200</v>
      </c>
      <c r="F9" s="173">
        <v>3300</v>
      </c>
      <c r="G9" s="172">
        <f>7527.63513-4516.58109</f>
        <v>3011.05404</v>
      </c>
      <c r="H9" s="172"/>
      <c r="I9" s="167">
        <f t="shared" si="2"/>
        <v>-288.94596000000001</v>
      </c>
      <c r="J9" s="168">
        <f>G9/F9</f>
        <v>0.91244061818181821</v>
      </c>
      <c r="K9" s="168">
        <f t="shared" si="0"/>
        <v>0.41820194999999999</v>
      </c>
      <c r="L9" s="169">
        <f t="shared" si="1"/>
        <v>-4188.94596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173">
        <v>0</v>
      </c>
      <c r="E10" s="173">
        <v>0</v>
      </c>
      <c r="F10" s="173">
        <v>0</v>
      </c>
      <c r="G10" s="172">
        <f>0.51891-0.31134</f>
        <v>0.20756999999999998</v>
      </c>
      <c r="H10" s="172"/>
      <c r="I10" s="167">
        <f t="shared" si="2"/>
        <v>0.20756999999999998</v>
      </c>
      <c r="J10" s="168">
        <v>0</v>
      </c>
      <c r="K10" s="168">
        <v>0</v>
      </c>
      <c r="L10" s="169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173">
        <v>40000</v>
      </c>
      <c r="E11" s="173">
        <v>40000</v>
      </c>
      <c r="F11" s="173">
        <v>20100</v>
      </c>
      <c r="G11" s="172">
        <f>51881.87163-31129.12298</f>
        <v>20752.748650000001</v>
      </c>
      <c r="H11" s="172"/>
      <c r="I11" s="167">
        <f t="shared" si="2"/>
        <v>652.74865000000136</v>
      </c>
      <c r="J11" s="168">
        <f>G11/F11</f>
        <v>1.0324750572139305</v>
      </c>
      <c r="K11" s="168">
        <f t="shared" si="0"/>
        <v>0.51881871625000009</v>
      </c>
      <c r="L11" s="169">
        <f t="shared" si="1"/>
        <v>-19247.251349999999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173">
        <v>25900</v>
      </c>
      <c r="E12" s="173">
        <v>25900</v>
      </c>
      <c r="F12" s="173">
        <v>8300</v>
      </c>
      <c r="G12" s="172">
        <f>18905.07869-11343.04718</f>
        <v>7562.0315099999989</v>
      </c>
      <c r="H12" s="172"/>
      <c r="I12" s="167">
        <f t="shared" si="2"/>
        <v>-737.96849000000111</v>
      </c>
      <c r="J12" s="168">
        <f>G12/F12</f>
        <v>0.91108813373493958</v>
      </c>
      <c r="K12" s="168">
        <f t="shared" si="0"/>
        <v>0.29197032857142852</v>
      </c>
      <c r="L12" s="169">
        <f t="shared" si="1"/>
        <v>-18337.968489999999</v>
      </c>
      <c r="M12" s="25"/>
      <c r="N12" s="12"/>
      <c r="O12" s="12"/>
    </row>
    <row r="13" spans="1:15" s="13" customFormat="1" ht="64.5" x14ac:dyDescent="0.45">
      <c r="A13" s="38"/>
      <c r="B13" s="39">
        <v>11020000</v>
      </c>
      <c r="C13" s="31" t="s">
        <v>20</v>
      </c>
      <c r="D13" s="170">
        <v>959.5</v>
      </c>
      <c r="E13" s="171">
        <f>E14+E15+E23+E16+E17+E18+E19+E20+E21+E22+E24+E25+E26+E27+E28+E29+E30</f>
        <v>65885</v>
      </c>
      <c r="F13" s="171">
        <f>F14+F15+F23+F16+F17+F18+F19+F20+F21+F22+F24+F25+F26+F27+F28+F29+F30</f>
        <v>60288.9</v>
      </c>
      <c r="G13" s="171">
        <f>G14+G15+G23+G16+G17+G18+G19+G20+G21+G22+G24+G25+G26+G27+G28+G29+G30</f>
        <v>90528.334000000032</v>
      </c>
      <c r="H13" s="172"/>
      <c r="I13" s="167">
        <f t="shared" si="2"/>
        <v>30239.43400000003</v>
      </c>
      <c r="J13" s="168">
        <f>G13/F13</f>
        <v>1.5015754807269668</v>
      </c>
      <c r="K13" s="168">
        <f t="shared" si="0"/>
        <v>1.3740355771419903</v>
      </c>
      <c r="L13" s="169">
        <f t="shared" si="1"/>
        <v>24643.334000000032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173">
        <v>487.5</v>
      </c>
      <c r="E14" s="173">
        <v>487.5</v>
      </c>
      <c r="F14" s="173">
        <v>201.4</v>
      </c>
      <c r="G14" s="172">
        <v>197.99065999999999</v>
      </c>
      <c r="H14" s="172"/>
      <c r="I14" s="167">
        <f t="shared" si="2"/>
        <v>-3.4093400000000145</v>
      </c>
      <c r="J14" s="168">
        <f>G14/F14</f>
        <v>0.98307179741807338</v>
      </c>
      <c r="K14" s="168">
        <f t="shared" si="0"/>
        <v>0.40613468717948714</v>
      </c>
      <c r="L14" s="169">
        <f t="shared" si="1"/>
        <v>-289.50934000000001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173"/>
      <c r="E15" s="173"/>
      <c r="F15" s="173">
        <v>0</v>
      </c>
      <c r="G15" s="172">
        <v>120.693</v>
      </c>
      <c r="H15" s="172"/>
      <c r="I15" s="167">
        <f t="shared" si="2"/>
        <v>120.693</v>
      </c>
      <c r="J15" s="168">
        <v>0</v>
      </c>
      <c r="K15" s="168">
        <v>0</v>
      </c>
      <c r="L15" s="169">
        <f t="shared" si="1"/>
        <v>120.693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173"/>
      <c r="E16" s="173">
        <v>5851.3</v>
      </c>
      <c r="F16" s="173">
        <v>5851.3</v>
      </c>
      <c r="G16" s="172">
        <f>185038.9928-166535.09351</f>
        <v>18503.899290000001</v>
      </c>
      <c r="H16" s="172"/>
      <c r="I16" s="167">
        <f t="shared" si="2"/>
        <v>12652.599290000002</v>
      </c>
      <c r="J16" s="168">
        <v>0</v>
      </c>
      <c r="K16" s="168">
        <f t="shared" si="0"/>
        <v>3.1623569617008189</v>
      </c>
      <c r="L16" s="169">
        <f t="shared" si="1"/>
        <v>12652.599290000002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173"/>
      <c r="E17" s="173">
        <v>7205.9</v>
      </c>
      <c r="F17" s="173">
        <v>7205.9</v>
      </c>
      <c r="G17" s="172">
        <f>58980.78719-53082.70838</f>
        <v>5898.0788100000063</v>
      </c>
      <c r="H17" s="172"/>
      <c r="I17" s="167">
        <f t="shared" si="2"/>
        <v>-1307.8211899999933</v>
      </c>
      <c r="J17" s="168">
        <v>0</v>
      </c>
      <c r="K17" s="168">
        <f t="shared" si="0"/>
        <v>0.81850689157496037</v>
      </c>
      <c r="L17" s="169">
        <f t="shared" si="1"/>
        <v>-1307.8211899999933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173"/>
      <c r="E18" s="173">
        <v>3343.9</v>
      </c>
      <c r="F18" s="173">
        <v>1630.8</v>
      </c>
      <c r="G18" s="172">
        <f>7293.25034-6563.92531</f>
        <v>729.32502999999997</v>
      </c>
      <c r="H18" s="172"/>
      <c r="I18" s="167">
        <f t="shared" si="2"/>
        <v>-901.47496999999998</v>
      </c>
      <c r="J18" s="168">
        <v>0</v>
      </c>
      <c r="K18" s="168">
        <f t="shared" si="0"/>
        <v>0.21810611262298513</v>
      </c>
      <c r="L18" s="169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173"/>
      <c r="E19" s="173">
        <v>652.20000000000005</v>
      </c>
      <c r="F19" s="173">
        <v>318.10000000000002</v>
      </c>
      <c r="G19" s="172">
        <f>20843.40448-18759.06403</f>
        <v>2084.3404499999997</v>
      </c>
      <c r="H19" s="172"/>
      <c r="I19" s="167">
        <f t="shared" si="2"/>
        <v>1766.2404499999998</v>
      </c>
      <c r="J19" s="168">
        <v>0</v>
      </c>
      <c r="K19" s="168">
        <f t="shared" si="0"/>
        <v>3.1958608555657766</v>
      </c>
      <c r="L19" s="169">
        <f t="shared" si="1"/>
        <v>1432.1404499999996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173"/>
      <c r="E20" s="173">
        <v>56</v>
      </c>
      <c r="F20" s="173">
        <v>27.3</v>
      </c>
      <c r="G20" s="172">
        <f>1215.2223-1093.70006</f>
        <v>121.52224000000001</v>
      </c>
      <c r="H20" s="172"/>
      <c r="I20" s="167">
        <f t="shared" si="2"/>
        <v>94.222240000000014</v>
      </c>
      <c r="J20" s="168">
        <v>0</v>
      </c>
      <c r="K20" s="168">
        <f t="shared" si="0"/>
        <v>2.1700400000000002</v>
      </c>
      <c r="L20" s="169">
        <f t="shared" si="1"/>
        <v>65.522240000000011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173"/>
      <c r="E21" s="173">
        <v>8307.2999999999993</v>
      </c>
      <c r="F21" s="173">
        <v>8307.2999999999993</v>
      </c>
      <c r="G21" s="172">
        <f>150743.5221-135669.16978</f>
        <v>15074.352320000005</v>
      </c>
      <c r="H21" s="172"/>
      <c r="I21" s="167">
        <f t="shared" si="2"/>
        <v>6767.0523200000061</v>
      </c>
      <c r="J21" s="168">
        <v>0</v>
      </c>
      <c r="K21" s="168">
        <f t="shared" si="0"/>
        <v>1.8145910608741718</v>
      </c>
      <c r="L21" s="169">
        <f t="shared" si="1"/>
        <v>6767.0523200000061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173"/>
      <c r="E22" s="173">
        <v>54.3</v>
      </c>
      <c r="F22" s="173">
        <v>26.5</v>
      </c>
      <c r="G22" s="172">
        <f>1815.17693-1633.65924</f>
        <v>181.51769000000013</v>
      </c>
      <c r="H22" s="172"/>
      <c r="I22" s="167">
        <f t="shared" si="2"/>
        <v>155.01769000000013</v>
      </c>
      <c r="J22" s="168">
        <v>0</v>
      </c>
      <c r="K22" s="168">
        <f t="shared" si="0"/>
        <v>3.3428672191528572</v>
      </c>
      <c r="L22" s="169">
        <f t="shared" si="1"/>
        <v>127.21769000000013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173">
        <v>472</v>
      </c>
      <c r="E23" s="173">
        <v>472</v>
      </c>
      <c r="F23" s="173">
        <v>194</v>
      </c>
      <c r="G23" s="172">
        <f>147.851+3.298</f>
        <v>151.149</v>
      </c>
      <c r="H23" s="172"/>
      <c r="I23" s="167">
        <f t="shared" si="2"/>
        <v>-42.850999999999999</v>
      </c>
      <c r="J23" s="168">
        <f>G23/F23</f>
        <v>0.77911855670103092</v>
      </c>
      <c r="K23" s="168">
        <f t="shared" si="0"/>
        <v>0.32023093220338983</v>
      </c>
      <c r="L23" s="169">
        <f t="shared" si="1"/>
        <v>-320.851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173"/>
      <c r="E24" s="173">
        <v>16819.900000000001</v>
      </c>
      <c r="F24" s="173">
        <v>16819.900000000001</v>
      </c>
      <c r="G24" s="172">
        <f>178210.49699-160389.44728</f>
        <v>17821.049710000021</v>
      </c>
      <c r="H24" s="172"/>
      <c r="I24" s="167">
        <f t="shared" si="2"/>
        <v>1001.1497100000197</v>
      </c>
      <c r="J24" s="168">
        <v>0</v>
      </c>
      <c r="K24" s="168">
        <f t="shared" si="0"/>
        <v>1.0595217397249699</v>
      </c>
      <c r="L24" s="169">
        <f t="shared" si="1"/>
        <v>1001.1497100000197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173"/>
      <c r="E25" s="173">
        <v>345.5</v>
      </c>
      <c r="F25" s="173">
        <v>168.5</v>
      </c>
      <c r="G25" s="172">
        <f>4804.28-4323.852</f>
        <v>480.42799999999988</v>
      </c>
      <c r="H25" s="172"/>
      <c r="I25" s="167">
        <f t="shared" si="2"/>
        <v>311.92799999999988</v>
      </c>
      <c r="J25" s="168">
        <v>0</v>
      </c>
      <c r="K25" s="168">
        <f t="shared" si="0"/>
        <v>1.390529667149059</v>
      </c>
      <c r="L25" s="169">
        <f t="shared" si="1"/>
        <v>134.92799999999988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173"/>
      <c r="E26" s="173">
        <v>3254.6</v>
      </c>
      <c r="F26" s="173">
        <v>3254.6</v>
      </c>
      <c r="G26" s="172">
        <f>162638.20626-146374.38563</f>
        <v>16263.820630000002</v>
      </c>
      <c r="H26" s="172"/>
      <c r="I26" s="167">
        <f t="shared" si="2"/>
        <v>13009.220630000002</v>
      </c>
      <c r="J26" s="168">
        <v>0</v>
      </c>
      <c r="K26" s="168">
        <f t="shared" si="0"/>
        <v>4.9971795704541275</v>
      </c>
      <c r="L26" s="169">
        <f t="shared" si="1"/>
        <v>13009.220630000002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173"/>
      <c r="E27" s="173">
        <v>1964.8</v>
      </c>
      <c r="F27" s="173">
        <v>958.3</v>
      </c>
      <c r="G27" s="172">
        <f>30381.91797-27343.72617</f>
        <v>3038.1917999999969</v>
      </c>
      <c r="H27" s="172"/>
      <c r="I27" s="167">
        <f t="shared" si="2"/>
        <v>2079.8917999999967</v>
      </c>
      <c r="J27" s="168">
        <v>0</v>
      </c>
      <c r="K27" s="168">
        <f t="shared" si="0"/>
        <v>1.5463109731270344</v>
      </c>
      <c r="L27" s="169">
        <f t="shared" si="1"/>
        <v>1073.3917999999969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173"/>
      <c r="E28" s="173">
        <v>11.6</v>
      </c>
      <c r="F28" s="173">
        <v>5.6</v>
      </c>
      <c r="G28" s="172">
        <f>0.18041-0.16237</f>
        <v>1.804E-2</v>
      </c>
      <c r="H28" s="172"/>
      <c r="I28" s="167">
        <f t="shared" si="2"/>
        <v>-5.5819599999999996</v>
      </c>
      <c r="J28" s="168">
        <v>0</v>
      </c>
      <c r="K28" s="168">
        <f t="shared" si="0"/>
        <v>1.5551724137931036E-3</v>
      </c>
      <c r="L28" s="169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173"/>
      <c r="E29" s="173">
        <v>17007.3</v>
      </c>
      <c r="F29" s="173">
        <v>15294.6</v>
      </c>
      <c r="G29" s="172">
        <f>97916.1318-88124.51857</f>
        <v>9791.6132300000027</v>
      </c>
      <c r="H29" s="172"/>
      <c r="I29" s="167">
        <f t="shared" si="2"/>
        <v>-5502.9867699999977</v>
      </c>
      <c r="J29" s="168">
        <v>0</v>
      </c>
      <c r="K29" s="168">
        <f t="shared" si="0"/>
        <v>0.57573002357811076</v>
      </c>
      <c r="L29" s="169">
        <f t="shared" si="1"/>
        <v>-7215.6867699999966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173"/>
      <c r="E30" s="173">
        <v>50.9</v>
      </c>
      <c r="F30" s="173">
        <v>24.8</v>
      </c>
      <c r="G30" s="172">
        <f>703.441-633.0969</f>
        <v>70.344100000000026</v>
      </c>
      <c r="H30" s="172"/>
      <c r="I30" s="167">
        <f t="shared" si="2"/>
        <v>45.544100000000029</v>
      </c>
      <c r="J30" s="168">
        <v>0</v>
      </c>
      <c r="K30" s="168">
        <f t="shared" si="0"/>
        <v>1.3820058939096274</v>
      </c>
      <c r="L30" s="169">
        <f t="shared" si="1"/>
        <v>19.444100000000027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170">
        <v>7626.9</v>
      </c>
      <c r="E31" s="171">
        <f>E32+E34+E39+E42</f>
        <v>7626.9</v>
      </c>
      <c r="F31" s="171">
        <f>F32+F34+F39+F42</f>
        <v>3187.3999999999996</v>
      </c>
      <c r="G31" s="171">
        <f>G32+G34+G39+G42</f>
        <v>8581.7238999999972</v>
      </c>
      <c r="H31" s="172"/>
      <c r="I31" s="167">
        <f t="shared" si="2"/>
        <v>5394.3238999999976</v>
      </c>
      <c r="J31" s="168">
        <f>G31/F31</f>
        <v>2.6923900043922941</v>
      </c>
      <c r="K31" s="168">
        <f t="shared" si="0"/>
        <v>1.1251916112706339</v>
      </c>
      <c r="L31" s="169">
        <f t="shared" si="1"/>
        <v>954.82389999999759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173">
        <v>0</v>
      </c>
      <c r="E32" s="173"/>
      <c r="F32" s="173">
        <v>0</v>
      </c>
      <c r="G32" s="174">
        <f>G33</f>
        <v>26.96754</v>
      </c>
      <c r="H32" s="172"/>
      <c r="I32" s="167">
        <f t="shared" si="2"/>
        <v>26.96754</v>
      </c>
      <c r="J32" s="168">
        <v>0</v>
      </c>
      <c r="K32" s="168">
        <v>0</v>
      </c>
      <c r="L32" s="169">
        <f t="shared" si="1"/>
        <v>26.96754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173">
        <v>0</v>
      </c>
      <c r="E33" s="173"/>
      <c r="F33" s="173">
        <v>0</v>
      </c>
      <c r="G33" s="172">
        <v>26.96754</v>
      </c>
      <c r="H33" s="172"/>
      <c r="I33" s="167">
        <f t="shared" si="2"/>
        <v>26.96754</v>
      </c>
      <c r="J33" s="168">
        <v>0</v>
      </c>
      <c r="K33" s="168">
        <v>0</v>
      </c>
      <c r="L33" s="169">
        <f t="shared" si="1"/>
        <v>26.96754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175">
        <v>6555.9</v>
      </c>
      <c r="E34" s="175">
        <v>6555.9</v>
      </c>
      <c r="F34" s="174">
        <f>F35+F36+F37+F38</f>
        <v>2460.1</v>
      </c>
      <c r="G34" s="174">
        <f>G35+G36+G37+G38</f>
        <v>8347.1270199999981</v>
      </c>
      <c r="H34" s="172"/>
      <c r="I34" s="167">
        <f t="shared" si="2"/>
        <v>5887.0270199999977</v>
      </c>
      <c r="J34" s="168">
        <f>G34/F34</f>
        <v>3.393003138083817</v>
      </c>
      <c r="K34" s="168">
        <f t="shared" si="0"/>
        <v>1.2732236641803565</v>
      </c>
      <c r="L34" s="169">
        <f t="shared" si="1"/>
        <v>1791.2270199999984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173">
        <v>6555.4</v>
      </c>
      <c r="E35" s="173">
        <v>6555.4</v>
      </c>
      <c r="F35" s="173">
        <v>2460</v>
      </c>
      <c r="G35" s="172">
        <f>16691.85921-8345.92969</f>
        <v>8345.9295199999979</v>
      </c>
      <c r="H35" s="172"/>
      <c r="I35" s="167">
        <f t="shared" si="2"/>
        <v>5885.9295199999979</v>
      </c>
      <c r="J35" s="168">
        <f>G35/F35</f>
        <v>3.3926542764227632</v>
      </c>
      <c r="K35" s="168">
        <f t="shared" si="0"/>
        <v>1.2731381029380355</v>
      </c>
      <c r="L35" s="169">
        <f t="shared" si="1"/>
        <v>1790.5295199999982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173">
        <v>0.5</v>
      </c>
      <c r="E36" s="173">
        <v>0.5</v>
      </c>
      <c r="F36" s="173">
        <v>0.1</v>
      </c>
      <c r="G36" s="172">
        <v>0.31818000000000002</v>
      </c>
      <c r="H36" s="172"/>
      <c r="I36" s="167">
        <f t="shared" si="2"/>
        <v>0.21818000000000001</v>
      </c>
      <c r="J36" s="168">
        <f>G36/F36</f>
        <v>3.1818</v>
      </c>
      <c r="K36" s="168">
        <f t="shared" si="0"/>
        <v>0.63636000000000004</v>
      </c>
      <c r="L36" s="169">
        <f t="shared" si="1"/>
        <v>-0.18181999999999998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173"/>
      <c r="E37" s="173"/>
      <c r="F37" s="173">
        <v>0</v>
      </c>
      <c r="G37" s="172">
        <f>0.91706-0.45853</f>
        <v>0.45852999999999999</v>
      </c>
      <c r="H37" s="172"/>
      <c r="I37" s="167">
        <f t="shared" si="2"/>
        <v>0.45852999999999999</v>
      </c>
      <c r="J37" s="168">
        <v>0</v>
      </c>
      <c r="K37" s="168">
        <v>0</v>
      </c>
      <c r="L37" s="169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173"/>
      <c r="E38" s="173"/>
      <c r="F38" s="173">
        <v>0</v>
      </c>
      <c r="G38" s="172">
        <f>0.84158-0.42079</f>
        <v>0.42079</v>
      </c>
      <c r="H38" s="172"/>
      <c r="I38" s="167">
        <f t="shared" si="2"/>
        <v>0.42079</v>
      </c>
      <c r="J38" s="168">
        <v>0</v>
      </c>
      <c r="K38" s="168">
        <v>0</v>
      </c>
      <c r="L38" s="169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170">
        <v>1070.8</v>
      </c>
      <c r="E39" s="170">
        <v>1070.8</v>
      </c>
      <c r="F39" s="171">
        <f>F41+F40</f>
        <v>727.1</v>
      </c>
      <c r="G39" s="171">
        <f>G41+G40</f>
        <v>207.34723</v>
      </c>
      <c r="H39" s="172"/>
      <c r="I39" s="167">
        <f t="shared" si="2"/>
        <v>-519.75277000000006</v>
      </c>
      <c r="J39" s="168">
        <f>G39/F39</f>
        <v>0.28517016916517673</v>
      </c>
      <c r="K39" s="168">
        <f t="shared" si="0"/>
        <v>0.19363768210683602</v>
      </c>
      <c r="L39" s="169">
        <f t="shared" si="1"/>
        <v>-863.45276999999999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173">
        <v>165.8</v>
      </c>
      <c r="E40" s="173">
        <v>165.8</v>
      </c>
      <c r="F40" s="173">
        <v>42.1</v>
      </c>
      <c r="G40" s="172">
        <f>225.44917-169.0868</f>
        <v>56.362369999999999</v>
      </c>
      <c r="H40" s="172"/>
      <c r="I40" s="167">
        <f t="shared" si="2"/>
        <v>14.262369999999997</v>
      </c>
      <c r="J40" s="168">
        <f>G40/F40</f>
        <v>1.3387736342042755</v>
      </c>
      <c r="K40" s="168">
        <f t="shared" si="0"/>
        <v>0.33994191797346196</v>
      </c>
      <c r="L40" s="169">
        <f t="shared" si="1"/>
        <v>-109.43763000000001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173">
        <v>905</v>
      </c>
      <c r="E41" s="173">
        <v>905</v>
      </c>
      <c r="F41" s="173">
        <v>685</v>
      </c>
      <c r="G41" s="172">
        <v>150.98486</v>
      </c>
      <c r="H41" s="172"/>
      <c r="I41" s="167">
        <f t="shared" si="2"/>
        <v>-534.01513999999997</v>
      </c>
      <c r="J41" s="168">
        <f>G41/F41</f>
        <v>0.22041585401459854</v>
      </c>
      <c r="K41" s="168">
        <f t="shared" si="0"/>
        <v>0.16683409944751382</v>
      </c>
      <c r="L41" s="169">
        <f t="shared" si="1"/>
        <v>-754.01513999999997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170">
        <v>0.2</v>
      </c>
      <c r="E42" s="170">
        <v>0.2</v>
      </c>
      <c r="F42" s="174">
        <f>F43</f>
        <v>0.2</v>
      </c>
      <c r="G42" s="174">
        <f>G43</f>
        <v>0.28211000000000003</v>
      </c>
      <c r="H42" s="172"/>
      <c r="I42" s="167">
        <f t="shared" si="2"/>
        <v>8.2110000000000016E-2</v>
      </c>
      <c r="J42" s="168">
        <f>G42/F42</f>
        <v>1.41055</v>
      </c>
      <c r="K42" s="168">
        <f t="shared" si="0"/>
        <v>1.41055</v>
      </c>
      <c r="L42" s="169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173"/>
      <c r="E43" s="173"/>
      <c r="F43" s="173">
        <v>0.2</v>
      </c>
      <c r="G43" s="172">
        <v>0.28211000000000003</v>
      </c>
      <c r="H43" s="172"/>
      <c r="I43" s="167">
        <f t="shared" si="2"/>
        <v>8.2110000000000016E-2</v>
      </c>
      <c r="J43" s="168">
        <f>G43/F43</f>
        <v>1.41055</v>
      </c>
      <c r="K43" s="168">
        <v>0</v>
      </c>
      <c r="L43" s="169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170"/>
      <c r="E44" s="171">
        <f>E45</f>
        <v>89700</v>
      </c>
      <c r="F44" s="171">
        <f>F45</f>
        <v>41500</v>
      </c>
      <c r="G44" s="171">
        <f>G45</f>
        <v>43586.937189999997</v>
      </c>
      <c r="H44" s="172"/>
      <c r="I44" s="167">
        <f t="shared" si="2"/>
        <v>2086.9371899999969</v>
      </c>
      <c r="J44" s="168">
        <v>0</v>
      </c>
      <c r="K44" s="168">
        <f t="shared" si="0"/>
        <v>0.48591903221850608</v>
      </c>
      <c r="L44" s="169">
        <f t="shared" si="1"/>
        <v>-46113.062810000003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173"/>
      <c r="E45" s="173">
        <v>89700</v>
      </c>
      <c r="F45" s="173">
        <v>41500</v>
      </c>
      <c r="G45" s="172">
        <v>43586.937189999997</v>
      </c>
      <c r="H45" s="172"/>
      <c r="I45" s="167">
        <f t="shared" si="2"/>
        <v>2086.9371899999969</v>
      </c>
      <c r="J45" s="168">
        <v>0</v>
      </c>
      <c r="K45" s="168">
        <f t="shared" si="0"/>
        <v>0.48591903221850608</v>
      </c>
      <c r="L45" s="169">
        <f t="shared" si="1"/>
        <v>-46113.062810000003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170"/>
      <c r="E46" s="170">
        <v>0</v>
      </c>
      <c r="F46" s="171">
        <f>F48</f>
        <v>0</v>
      </c>
      <c r="G46" s="171">
        <f>G48</f>
        <v>9.6140000000000003E-2</v>
      </c>
      <c r="H46" s="172"/>
      <c r="I46" s="167">
        <f t="shared" si="2"/>
        <v>9.6140000000000003E-2</v>
      </c>
      <c r="J46" s="168">
        <v>0</v>
      </c>
      <c r="K46" s="168">
        <v>0</v>
      </c>
      <c r="L46" s="169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170"/>
      <c r="E47" s="170">
        <v>0</v>
      </c>
      <c r="F47" s="171">
        <f>F48</f>
        <v>0</v>
      </c>
      <c r="G47" s="171">
        <f>G48</f>
        <v>9.6140000000000003E-2</v>
      </c>
      <c r="H47" s="172"/>
      <c r="I47" s="167">
        <f t="shared" si="2"/>
        <v>9.6140000000000003E-2</v>
      </c>
      <c r="J47" s="168">
        <v>0</v>
      </c>
      <c r="K47" s="168">
        <v>0</v>
      </c>
      <c r="L47" s="169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173">
        <v>0</v>
      </c>
      <c r="E48" s="173">
        <v>0</v>
      </c>
      <c r="F48" s="173">
        <v>0</v>
      </c>
      <c r="G48" s="172">
        <v>9.6140000000000003E-2</v>
      </c>
      <c r="H48" s="172"/>
      <c r="I48" s="167">
        <f t="shared" si="2"/>
        <v>9.6140000000000003E-2</v>
      </c>
      <c r="J48" s="168">
        <v>0</v>
      </c>
      <c r="K48" s="168">
        <v>0</v>
      </c>
      <c r="L48" s="169">
        <f t="shared" si="1"/>
        <v>9.6140000000000003E-2</v>
      </c>
      <c r="M48" s="25"/>
      <c r="N48" s="12"/>
      <c r="O48" s="12"/>
    </row>
    <row r="49" spans="1:15" s="13" customFormat="1" ht="64.5" x14ac:dyDescent="0.45">
      <c r="A49" s="38"/>
      <c r="B49" s="39">
        <v>18000000</v>
      </c>
      <c r="C49" s="40" t="s">
        <v>56</v>
      </c>
      <c r="D49" s="170">
        <v>365617</v>
      </c>
      <c r="E49" s="171">
        <f>E50+E62+E64+E67+E77</f>
        <v>506933.89999999991</v>
      </c>
      <c r="F49" s="171">
        <f>F50+F62+F64+F67+F77</f>
        <v>237169.6</v>
      </c>
      <c r="G49" s="171">
        <f>G50+G62+G64+G67+G77</f>
        <v>234185.71448000002</v>
      </c>
      <c r="H49" s="172"/>
      <c r="I49" s="167">
        <f t="shared" si="2"/>
        <v>-2983.8855199999816</v>
      </c>
      <c r="J49" s="168">
        <f>G49/F49</f>
        <v>0.98741876901592796</v>
      </c>
      <c r="K49" s="168">
        <f t="shared" si="0"/>
        <v>0.46196499085975523</v>
      </c>
      <c r="L49" s="169">
        <f t="shared" si="1"/>
        <v>-272748.18551999988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173">
        <v>360978.2</v>
      </c>
      <c r="E50" s="172">
        <f>E51+E52+E53+E54+E55+E56+E57+E58+E60+E59</f>
        <v>380750.19999999995</v>
      </c>
      <c r="F50" s="172">
        <f>F51+F52+F53+F54+F55+F56+F57+F58+F60+F59</f>
        <v>154410</v>
      </c>
      <c r="G50" s="172">
        <f>G51+G52+G53+G54+G55+G56+G57+G58+G60+G59</f>
        <v>151169.44434000002</v>
      </c>
      <c r="H50" s="172"/>
      <c r="I50" s="167">
        <f t="shared" si="2"/>
        <v>-3240.5556599999836</v>
      </c>
      <c r="J50" s="168">
        <f>G50/F50</f>
        <v>0.97901330444919377</v>
      </c>
      <c r="K50" s="168">
        <f t="shared" si="0"/>
        <v>0.39703050540748247</v>
      </c>
      <c r="L50" s="169">
        <f t="shared" si="1"/>
        <v>-229580.75565999994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173">
        <v>0</v>
      </c>
      <c r="E51" s="173">
        <v>1951</v>
      </c>
      <c r="F51" s="173">
        <v>1951</v>
      </c>
      <c r="G51" s="172">
        <v>922.61485000000005</v>
      </c>
      <c r="H51" s="172"/>
      <c r="I51" s="167">
        <f t="shared" si="2"/>
        <v>-1028.3851500000001</v>
      </c>
      <c r="J51" s="168">
        <v>0</v>
      </c>
      <c r="K51" s="168">
        <f t="shared" si="0"/>
        <v>0.47289331112250133</v>
      </c>
      <c r="L51" s="169">
        <f t="shared" si="1"/>
        <v>-1028.3851500000001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173">
        <v>0</v>
      </c>
      <c r="E52" s="173">
        <v>1315</v>
      </c>
      <c r="F52" s="173">
        <v>0</v>
      </c>
      <c r="G52" s="172">
        <v>-0.80208999999999997</v>
      </c>
      <c r="H52" s="172"/>
      <c r="I52" s="167">
        <f t="shared" si="2"/>
        <v>-0.80208999999999997</v>
      </c>
      <c r="J52" s="168">
        <v>0</v>
      </c>
      <c r="K52" s="168">
        <f t="shared" si="0"/>
        <v>-6.0995437262357415E-4</v>
      </c>
      <c r="L52" s="169">
        <f t="shared" si="1"/>
        <v>-1315.8020899999999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173">
        <v>0</v>
      </c>
      <c r="E53" s="173">
        <v>0</v>
      </c>
      <c r="F53" s="173">
        <v>0</v>
      </c>
      <c r="G53" s="172">
        <v>12.12391</v>
      </c>
      <c r="H53" s="172"/>
      <c r="I53" s="167">
        <f t="shared" si="2"/>
        <v>12.12391</v>
      </c>
      <c r="J53" s="168">
        <v>0</v>
      </c>
      <c r="K53" s="168">
        <v>0</v>
      </c>
      <c r="L53" s="169">
        <f t="shared" si="1"/>
        <v>12.12391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173">
        <v>0</v>
      </c>
      <c r="E54" s="173">
        <v>8105</v>
      </c>
      <c r="F54" s="173">
        <v>8105</v>
      </c>
      <c r="G54" s="172">
        <v>7243.3149800000001</v>
      </c>
      <c r="H54" s="172"/>
      <c r="I54" s="167">
        <f t="shared" si="2"/>
        <v>-861.68501999999989</v>
      </c>
      <c r="J54" s="168">
        <v>0</v>
      </c>
      <c r="K54" s="168">
        <f t="shared" si="0"/>
        <v>0.89368476002467612</v>
      </c>
      <c r="L54" s="169">
        <f t="shared" si="1"/>
        <v>-861.68501999999989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173">
        <v>115874</v>
      </c>
      <c r="E55" s="173">
        <v>115874</v>
      </c>
      <c r="F55" s="173">
        <v>42022</v>
      </c>
      <c r="G55" s="176">
        <v>41550.01021</v>
      </c>
      <c r="H55" s="172"/>
      <c r="I55" s="167">
        <f t="shared" si="2"/>
        <v>-471.98978999999963</v>
      </c>
      <c r="J55" s="168">
        <f>G55/F55</f>
        <v>0.9887680312693351</v>
      </c>
      <c r="K55" s="168">
        <f t="shared" si="0"/>
        <v>0.35857923442705009</v>
      </c>
      <c r="L55" s="169">
        <f t="shared" si="1"/>
        <v>-74323.989789999992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173">
        <v>234996.8</v>
      </c>
      <c r="E56" s="173">
        <v>234996.8</v>
      </c>
      <c r="F56" s="173">
        <v>97550</v>
      </c>
      <c r="G56" s="176">
        <v>97774.474029999998</v>
      </c>
      <c r="H56" s="172"/>
      <c r="I56" s="167">
        <f t="shared" si="2"/>
        <v>224.47402999999758</v>
      </c>
      <c r="J56" s="168">
        <f>G56/F56</f>
        <v>1.0023011176832393</v>
      </c>
      <c r="K56" s="168">
        <f t="shared" si="0"/>
        <v>0.41606725721371524</v>
      </c>
      <c r="L56" s="169">
        <f t="shared" si="1"/>
        <v>-137222.32597000001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173">
        <v>6136.6</v>
      </c>
      <c r="E57" s="173">
        <v>6136.6</v>
      </c>
      <c r="F57" s="173">
        <v>1295</v>
      </c>
      <c r="G57" s="176">
        <v>1274.49838</v>
      </c>
      <c r="H57" s="172"/>
      <c r="I57" s="167">
        <f t="shared" si="2"/>
        <v>-20.501620000000003</v>
      </c>
      <c r="J57" s="168">
        <f>G57/F57</f>
        <v>0.98416863320463321</v>
      </c>
      <c r="K57" s="168">
        <f t="shared" si="0"/>
        <v>0.20768803246097187</v>
      </c>
      <c r="L57" s="169">
        <f t="shared" si="1"/>
        <v>-4862.1016200000004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173">
        <v>3970.8</v>
      </c>
      <c r="E58" s="173">
        <v>3970.8</v>
      </c>
      <c r="F58" s="173">
        <v>733</v>
      </c>
      <c r="G58" s="176">
        <v>624.47488999999996</v>
      </c>
      <c r="H58" s="172"/>
      <c r="I58" s="167">
        <f t="shared" si="2"/>
        <v>-108.52511000000004</v>
      </c>
      <c r="J58" s="168">
        <f>G58/F58</f>
        <v>0.85194391541609815</v>
      </c>
      <c r="K58" s="168">
        <f t="shared" si="0"/>
        <v>0.15726676992041905</v>
      </c>
      <c r="L58" s="169">
        <f t="shared" si="1"/>
        <v>-3346.3251100000002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173">
        <v>0</v>
      </c>
      <c r="E59" s="173">
        <v>5647</v>
      </c>
      <c r="F59" s="173">
        <v>0</v>
      </c>
      <c r="G59" s="172">
        <v>0</v>
      </c>
      <c r="H59" s="172"/>
      <c r="I59" s="167">
        <f t="shared" si="2"/>
        <v>0</v>
      </c>
      <c r="J59" s="168">
        <v>0</v>
      </c>
      <c r="K59" s="168">
        <f t="shared" si="0"/>
        <v>0</v>
      </c>
      <c r="L59" s="169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173">
        <v>0</v>
      </c>
      <c r="E60" s="173">
        <v>2754</v>
      </c>
      <c r="F60" s="173">
        <v>2754</v>
      </c>
      <c r="G60" s="172">
        <v>1768.7351799999999</v>
      </c>
      <c r="H60" s="172"/>
      <c r="I60" s="167">
        <f t="shared" si="2"/>
        <v>-985.2648200000001</v>
      </c>
      <c r="J60" s="168">
        <v>0</v>
      </c>
      <c r="K60" s="168">
        <f t="shared" si="0"/>
        <v>0.64224225853304284</v>
      </c>
      <c r="L60" s="169">
        <f t="shared" si="1"/>
        <v>-985.2648200000001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71">
        <f t="shared" ref="D61:E61" si="3">D62+D63</f>
        <v>4098.6000000000004</v>
      </c>
      <c r="E61" s="171">
        <f t="shared" si="3"/>
        <v>4098.6000000000004</v>
      </c>
      <c r="F61" s="171">
        <f>F62+F63</f>
        <v>990</v>
      </c>
      <c r="G61" s="171">
        <f>G62</f>
        <v>670.67346999999995</v>
      </c>
      <c r="H61" s="171"/>
      <c r="I61" s="167">
        <f t="shared" si="2"/>
        <v>-319.32653000000005</v>
      </c>
      <c r="J61" s="168">
        <f>G61/F61</f>
        <v>0.67744794949494946</v>
      </c>
      <c r="K61" s="168">
        <f t="shared" si="0"/>
        <v>0.16363477040940808</v>
      </c>
      <c r="L61" s="169">
        <f t="shared" si="1"/>
        <v>-3427.9265300000006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173">
        <v>4098.6000000000004</v>
      </c>
      <c r="E62" s="173">
        <v>4098.6000000000004</v>
      </c>
      <c r="F62" s="173">
        <v>990</v>
      </c>
      <c r="G62" s="172">
        <v>670.67346999999995</v>
      </c>
      <c r="H62" s="172"/>
      <c r="I62" s="167">
        <f t="shared" si="2"/>
        <v>-319.32653000000005</v>
      </c>
      <c r="J62" s="168">
        <f>G62/F62</f>
        <v>0.67744794949494946</v>
      </c>
      <c r="K62" s="168">
        <f t="shared" si="0"/>
        <v>0.16363477040940808</v>
      </c>
      <c r="L62" s="169">
        <f t="shared" si="1"/>
        <v>-3427.9265300000006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173">
        <v>0</v>
      </c>
      <c r="E63" s="173">
        <v>0</v>
      </c>
      <c r="F63" s="173">
        <v>0</v>
      </c>
      <c r="G63" s="172">
        <v>0</v>
      </c>
      <c r="H63" s="172"/>
      <c r="I63" s="167">
        <f t="shared" si="2"/>
        <v>0</v>
      </c>
      <c r="J63" s="168"/>
      <c r="K63" s="168">
        <v>0</v>
      </c>
      <c r="L63" s="169">
        <f t="shared" si="1"/>
        <v>0</v>
      </c>
      <c r="M63" s="25"/>
      <c r="N63" s="12"/>
      <c r="O63" s="12"/>
    </row>
    <row r="64" spans="1:15" s="13" customFormat="1" ht="64.5" x14ac:dyDescent="0.45">
      <c r="A64" s="38"/>
      <c r="B64" s="30">
        <v>18030000</v>
      </c>
      <c r="C64" s="31" t="s">
        <v>68</v>
      </c>
      <c r="D64" s="170">
        <v>540.20000000000005</v>
      </c>
      <c r="E64" s="170">
        <v>540.20000000000005</v>
      </c>
      <c r="F64" s="171">
        <f>F65+F66</f>
        <v>131.20000000000002</v>
      </c>
      <c r="G64" s="171">
        <f>G65+G66</f>
        <v>286.51926000000003</v>
      </c>
      <c r="H64" s="172"/>
      <c r="I64" s="167">
        <f t="shared" si="2"/>
        <v>155.31926000000001</v>
      </c>
      <c r="J64" s="168">
        <f>G64/F64</f>
        <v>2.1838358231707318</v>
      </c>
      <c r="K64" s="168">
        <f t="shared" si="0"/>
        <v>0.53039477971121807</v>
      </c>
      <c r="L64" s="169">
        <f t="shared" si="1"/>
        <v>-253.68074000000001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173">
        <v>515.4</v>
      </c>
      <c r="E65" s="173">
        <v>515.4</v>
      </c>
      <c r="F65" s="173">
        <v>120.4</v>
      </c>
      <c r="G65" s="172">
        <v>249.56986000000001</v>
      </c>
      <c r="H65" s="172"/>
      <c r="I65" s="167">
        <f t="shared" si="2"/>
        <v>129.16986</v>
      </c>
      <c r="J65" s="168">
        <f>G65/F65</f>
        <v>2.0728393687707642</v>
      </c>
      <c r="K65" s="168">
        <f t="shared" si="0"/>
        <v>0.48422557237097402</v>
      </c>
      <c r="L65" s="169">
        <f t="shared" si="1"/>
        <v>-265.83013999999997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173">
        <v>24.8</v>
      </c>
      <c r="E66" s="173">
        <v>24.8</v>
      </c>
      <c r="F66" s="173">
        <v>10.8</v>
      </c>
      <c r="G66" s="172">
        <v>36.949399999999997</v>
      </c>
      <c r="H66" s="172"/>
      <c r="I66" s="167">
        <f t="shared" si="2"/>
        <v>26.149399999999996</v>
      </c>
      <c r="J66" s="168">
        <f>G66/F66</f>
        <v>3.4212407407407404</v>
      </c>
      <c r="K66" s="168">
        <f t="shared" si="0"/>
        <v>1.4898951612903224</v>
      </c>
      <c r="L66" s="169">
        <f t="shared" si="1"/>
        <v>12.149399999999996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170"/>
      <c r="E67" s="170"/>
      <c r="F67" s="171">
        <f>F68+F69+F70+F71+F72+F73+F74+F75+F76</f>
        <v>0</v>
      </c>
      <c r="G67" s="171">
        <f>G68+G69+G70+G71+G72+G73+G74+G75+G76</f>
        <v>-11.78144</v>
      </c>
      <c r="H67" s="172"/>
      <c r="I67" s="167">
        <f t="shared" si="2"/>
        <v>-11.78144</v>
      </c>
      <c r="J67" s="168">
        <v>0</v>
      </c>
      <c r="K67" s="168">
        <v>0</v>
      </c>
      <c r="L67" s="169">
        <f t="shared" si="1"/>
        <v>-11.78144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173"/>
      <c r="E68" s="173"/>
      <c r="F68" s="173">
        <v>0</v>
      </c>
      <c r="G68" s="176">
        <v>-2.62866</v>
      </c>
      <c r="H68" s="172"/>
      <c r="I68" s="167">
        <f t="shared" si="2"/>
        <v>-2.62866</v>
      </c>
      <c r="J68" s="168">
        <v>0</v>
      </c>
      <c r="K68" s="168">
        <v>0</v>
      </c>
      <c r="L68" s="169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173"/>
      <c r="E69" s="173"/>
      <c r="F69" s="173">
        <v>0</v>
      </c>
      <c r="G69" s="172">
        <v>1.14751</v>
      </c>
      <c r="H69" s="172"/>
      <c r="I69" s="167">
        <f t="shared" si="2"/>
        <v>1.14751</v>
      </c>
      <c r="J69" s="168">
        <v>0</v>
      </c>
      <c r="K69" s="168">
        <v>0</v>
      </c>
      <c r="L69" s="169">
        <f t="shared" si="1"/>
        <v>1.14751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173"/>
      <c r="E70" s="173"/>
      <c r="F70" s="173">
        <v>0</v>
      </c>
      <c r="G70" s="172">
        <v>0.48699999999999999</v>
      </c>
      <c r="H70" s="172"/>
      <c r="I70" s="167">
        <f t="shared" si="2"/>
        <v>0.48699999999999999</v>
      </c>
      <c r="J70" s="168">
        <v>0</v>
      </c>
      <c r="K70" s="168">
        <v>0</v>
      </c>
      <c r="L70" s="169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173"/>
      <c r="E71" s="173"/>
      <c r="F71" s="173">
        <v>0</v>
      </c>
      <c r="G71" s="172">
        <v>8.8174499999999991</v>
      </c>
      <c r="H71" s="172"/>
      <c r="I71" s="167">
        <f t="shared" si="2"/>
        <v>8.8174499999999991</v>
      </c>
      <c r="J71" s="168">
        <v>0</v>
      </c>
      <c r="K71" s="168">
        <v>0</v>
      </c>
      <c r="L71" s="169">
        <f t="shared" si="4"/>
        <v>8.8174499999999991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173"/>
      <c r="E72" s="173"/>
      <c r="F72" s="173">
        <v>0</v>
      </c>
      <c r="G72" s="172">
        <v>-10.11759</v>
      </c>
      <c r="H72" s="172"/>
      <c r="I72" s="167">
        <f t="shared" si="2"/>
        <v>-10.11759</v>
      </c>
      <c r="J72" s="168">
        <v>0</v>
      </c>
      <c r="K72" s="168">
        <v>0</v>
      </c>
      <c r="L72" s="169">
        <f t="shared" si="4"/>
        <v>-10.11759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173"/>
      <c r="E73" s="173"/>
      <c r="F73" s="173">
        <v>0</v>
      </c>
      <c r="G73" s="172">
        <v>-13.181979999999999</v>
      </c>
      <c r="H73" s="172"/>
      <c r="I73" s="167">
        <f t="shared" ref="I73:I120" si="5">G73-F73</f>
        <v>-13.181979999999999</v>
      </c>
      <c r="J73" s="168">
        <v>0</v>
      </c>
      <c r="K73" s="168">
        <v>0</v>
      </c>
      <c r="L73" s="169">
        <f t="shared" si="4"/>
        <v>-13.181979999999999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173"/>
      <c r="E74" s="173"/>
      <c r="F74" s="173">
        <v>0</v>
      </c>
      <c r="G74" s="172">
        <v>6.0999999999999999E-2</v>
      </c>
      <c r="H74" s="172"/>
      <c r="I74" s="167">
        <f t="shared" si="5"/>
        <v>6.0999999999999999E-2</v>
      </c>
      <c r="J74" s="168">
        <v>0</v>
      </c>
      <c r="K74" s="168">
        <v>0</v>
      </c>
      <c r="L74" s="169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173"/>
      <c r="E75" s="173"/>
      <c r="F75" s="173">
        <v>0</v>
      </c>
      <c r="G75" s="172">
        <v>3.6338300000000001</v>
      </c>
      <c r="H75" s="172"/>
      <c r="I75" s="167">
        <f t="shared" si="5"/>
        <v>3.6338300000000001</v>
      </c>
      <c r="J75" s="168">
        <v>0</v>
      </c>
      <c r="K75" s="168">
        <v>0</v>
      </c>
      <c r="L75" s="169">
        <f t="shared" si="4"/>
        <v>3.6338300000000001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173"/>
      <c r="E76" s="173"/>
      <c r="F76" s="173">
        <v>0</v>
      </c>
      <c r="G76" s="172">
        <v>0</v>
      </c>
      <c r="H76" s="172"/>
      <c r="I76" s="167">
        <f t="shared" si="5"/>
        <v>0</v>
      </c>
      <c r="J76" s="168">
        <v>0</v>
      </c>
      <c r="K76" s="168">
        <v>0</v>
      </c>
      <c r="L76" s="169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173"/>
      <c r="E77" s="171">
        <f>E79+E80+E78+E81</f>
        <v>121544.9</v>
      </c>
      <c r="F77" s="171">
        <f>F79+F80+F78+F81</f>
        <v>81638.399999999994</v>
      </c>
      <c r="G77" s="171">
        <f>G79+G80+G78+G81</f>
        <v>82070.858850000004</v>
      </c>
      <c r="H77" s="172"/>
      <c r="I77" s="167">
        <f t="shared" si="5"/>
        <v>432.45885000000999</v>
      </c>
      <c r="J77" s="168">
        <v>0</v>
      </c>
      <c r="K77" s="168">
        <f t="shared" ref="K77:K121" si="6">G77/E77</f>
        <v>0.67523079002080721</v>
      </c>
      <c r="L77" s="169">
        <f t="shared" si="4"/>
        <v>-39474.04114999999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173"/>
      <c r="E78" s="173">
        <v>0</v>
      </c>
      <c r="F78" s="173">
        <v>0</v>
      </c>
      <c r="G78" s="172">
        <v>8.5665499999999994</v>
      </c>
      <c r="H78" s="172"/>
      <c r="I78" s="167">
        <f t="shared" si="5"/>
        <v>8.5665499999999994</v>
      </c>
      <c r="J78" s="168">
        <v>0</v>
      </c>
      <c r="K78" s="168">
        <v>0</v>
      </c>
      <c r="L78" s="169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173"/>
      <c r="E79" s="173">
        <v>50570.9</v>
      </c>
      <c r="F79" s="173">
        <v>30058.400000000001</v>
      </c>
      <c r="G79" s="172">
        <v>30208.79421</v>
      </c>
      <c r="H79" s="172"/>
      <c r="I79" s="167">
        <f t="shared" si="5"/>
        <v>150.39420999999857</v>
      </c>
      <c r="J79" s="168">
        <v>0</v>
      </c>
      <c r="K79" s="168">
        <f t="shared" si="6"/>
        <v>0.59735528159475115</v>
      </c>
      <c r="L79" s="169">
        <f t="shared" si="4"/>
        <v>-20362.105790000001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173"/>
      <c r="E80" s="173">
        <v>70974</v>
      </c>
      <c r="F80" s="173">
        <v>51580</v>
      </c>
      <c r="G80" s="172">
        <v>51848.79709</v>
      </c>
      <c r="H80" s="172"/>
      <c r="I80" s="167">
        <f t="shared" si="5"/>
        <v>268.79709000000003</v>
      </c>
      <c r="J80" s="168">
        <v>0</v>
      </c>
      <c r="K80" s="168">
        <f t="shared" si="6"/>
        <v>0.73053226660467219</v>
      </c>
      <c r="L80" s="169">
        <f t="shared" si="4"/>
        <v>-19125.20291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173"/>
      <c r="E81" s="173">
        <v>0</v>
      </c>
      <c r="F81" s="173">
        <v>0</v>
      </c>
      <c r="G81" s="172">
        <v>4.7009999999999996</v>
      </c>
      <c r="H81" s="172"/>
      <c r="I81" s="167">
        <f t="shared" si="5"/>
        <v>4.7009999999999996</v>
      </c>
      <c r="J81" s="168">
        <v>0</v>
      </c>
      <c r="K81" s="168">
        <v>0</v>
      </c>
      <c r="L81" s="169">
        <f t="shared" si="4"/>
        <v>4.7009999999999996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170"/>
      <c r="E82" s="170">
        <f>E83</f>
        <v>702.4</v>
      </c>
      <c r="F82" s="171">
        <f>F83</f>
        <v>337.1</v>
      </c>
      <c r="G82" s="171">
        <f>G83</f>
        <v>181.33114</v>
      </c>
      <c r="H82" s="172"/>
      <c r="I82" s="167">
        <f t="shared" si="5"/>
        <v>-155.76886000000002</v>
      </c>
      <c r="J82" s="168">
        <v>0</v>
      </c>
      <c r="K82" s="168">
        <v>0</v>
      </c>
      <c r="L82" s="169">
        <f t="shared" si="4"/>
        <v>-521.06885999999997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170"/>
      <c r="E83" s="170">
        <f>E84+E85+E86</f>
        <v>702.4</v>
      </c>
      <c r="F83" s="171">
        <f>F84+F85+F86</f>
        <v>337.1</v>
      </c>
      <c r="G83" s="171">
        <f>G84+G85+G86</f>
        <v>181.33114</v>
      </c>
      <c r="H83" s="172"/>
      <c r="I83" s="167">
        <f t="shared" si="5"/>
        <v>-155.76886000000002</v>
      </c>
      <c r="J83" s="168">
        <v>0</v>
      </c>
      <c r="K83" s="168">
        <v>0</v>
      </c>
      <c r="L83" s="169">
        <f t="shared" si="4"/>
        <v>-521.06885999999997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173"/>
      <c r="E84" s="173">
        <v>342.1</v>
      </c>
      <c r="F84" s="173">
        <v>164.1</v>
      </c>
      <c r="G84" s="172">
        <f>184.83719-36.96749</f>
        <v>147.86969999999999</v>
      </c>
      <c r="H84" s="172"/>
      <c r="I84" s="167">
        <f t="shared" si="5"/>
        <v>-16.2303</v>
      </c>
      <c r="J84" s="168">
        <v>0</v>
      </c>
      <c r="K84" s="168">
        <v>0</v>
      </c>
      <c r="L84" s="169">
        <f t="shared" si="4"/>
        <v>-194.23030000000003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173"/>
      <c r="E85" s="173">
        <v>243</v>
      </c>
      <c r="F85" s="173">
        <v>116.7</v>
      </c>
      <c r="G85" s="172">
        <f>0.3-0.06</f>
        <v>0.24</v>
      </c>
      <c r="H85" s="172"/>
      <c r="I85" s="167">
        <f t="shared" si="5"/>
        <v>-116.46000000000001</v>
      </c>
      <c r="J85" s="168">
        <v>0</v>
      </c>
      <c r="K85" s="168">
        <v>0</v>
      </c>
      <c r="L85" s="169">
        <f t="shared" si="4"/>
        <v>-242.76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173"/>
      <c r="E86" s="173">
        <v>117.3</v>
      </c>
      <c r="F86" s="173">
        <v>56.3</v>
      </c>
      <c r="G86" s="172">
        <f>41.52681-8.30537</f>
        <v>33.221440000000001</v>
      </c>
      <c r="H86" s="172"/>
      <c r="I86" s="167">
        <f t="shared" si="5"/>
        <v>-23.078559999999996</v>
      </c>
      <c r="J86" s="168">
        <v>0</v>
      </c>
      <c r="K86" s="168">
        <v>0</v>
      </c>
      <c r="L86" s="169">
        <f t="shared" si="4"/>
        <v>-84.078559999999996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170">
        <v>18149.8</v>
      </c>
      <c r="E87" s="170">
        <v>18149.8</v>
      </c>
      <c r="F87" s="171">
        <f>F88+F95+F112</f>
        <v>6923.5000000000009</v>
      </c>
      <c r="G87" s="171">
        <f>G88+G95+G112</f>
        <v>13012.978520000002</v>
      </c>
      <c r="H87" s="171"/>
      <c r="I87" s="167">
        <f t="shared" si="5"/>
        <v>6089.4785200000015</v>
      </c>
      <c r="J87" s="168">
        <f t="shared" ref="J87:J121" si="7">G87/F87</f>
        <v>1.8795375922582509</v>
      </c>
      <c r="K87" s="168">
        <f t="shared" si="6"/>
        <v>0.71697641406516888</v>
      </c>
      <c r="L87" s="169">
        <f t="shared" si="4"/>
        <v>-5136.8214799999969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173">
        <v>1906.3</v>
      </c>
      <c r="E88" s="173">
        <v>1906.3</v>
      </c>
      <c r="F88" s="171">
        <f>F89+F92</f>
        <v>615.6</v>
      </c>
      <c r="G88" s="171">
        <f>G89+G92</f>
        <v>1153.73298</v>
      </c>
      <c r="H88" s="172"/>
      <c r="I88" s="167">
        <f t="shared" si="5"/>
        <v>538.13297999999998</v>
      </c>
      <c r="J88" s="168">
        <f t="shared" si="7"/>
        <v>1.8741601364522416</v>
      </c>
      <c r="K88" s="168">
        <f t="shared" si="6"/>
        <v>0.6052210984629911</v>
      </c>
      <c r="L88" s="169">
        <f t="shared" si="4"/>
        <v>-752.56701999999996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173">
        <v>1277.3</v>
      </c>
      <c r="E89" s="173">
        <v>1277.3</v>
      </c>
      <c r="F89" s="172">
        <f>F91+F90</f>
        <v>371.6</v>
      </c>
      <c r="G89" s="172">
        <f>G91+G90</f>
        <v>995.07999999999993</v>
      </c>
      <c r="H89" s="172"/>
      <c r="I89" s="167">
        <f t="shared" si="5"/>
        <v>623.4799999999999</v>
      </c>
      <c r="J89" s="168">
        <f t="shared" si="7"/>
        <v>2.6778256189451017</v>
      </c>
      <c r="K89" s="168">
        <f t="shared" si="6"/>
        <v>0.77904955766069051</v>
      </c>
      <c r="L89" s="169">
        <f t="shared" si="4"/>
        <v>-282.22000000000003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173">
        <v>1277.3</v>
      </c>
      <c r="E90" s="173">
        <v>1277.3</v>
      </c>
      <c r="F90" s="173">
        <v>371.6</v>
      </c>
      <c r="G90" s="172">
        <v>812.68899999999996</v>
      </c>
      <c r="H90" s="172"/>
      <c r="I90" s="167">
        <f t="shared" si="5"/>
        <v>441.08899999999994</v>
      </c>
      <c r="J90" s="168">
        <f t="shared" si="7"/>
        <v>2.1869994617868675</v>
      </c>
      <c r="K90" s="168">
        <f t="shared" si="6"/>
        <v>0.63625538244734992</v>
      </c>
      <c r="L90" s="169">
        <f t="shared" si="4"/>
        <v>-464.61099999999999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173"/>
      <c r="E91" s="173"/>
      <c r="F91" s="173">
        <v>0</v>
      </c>
      <c r="G91" s="172">
        <v>182.39099999999999</v>
      </c>
      <c r="H91" s="172"/>
      <c r="I91" s="167">
        <f t="shared" si="5"/>
        <v>182.39099999999999</v>
      </c>
      <c r="J91" s="168">
        <v>0</v>
      </c>
      <c r="K91" s="168">
        <v>0</v>
      </c>
      <c r="L91" s="169">
        <f t="shared" si="4"/>
        <v>182.39099999999999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171">
        <f>D94+D93</f>
        <v>629</v>
      </c>
      <c r="E92" s="171">
        <f>E94+E93</f>
        <v>629</v>
      </c>
      <c r="F92" s="171">
        <f>F94+F93</f>
        <v>244</v>
      </c>
      <c r="G92" s="171">
        <f>G94+G93</f>
        <v>158.65297999999999</v>
      </c>
      <c r="H92" s="172"/>
      <c r="I92" s="167">
        <f t="shared" si="5"/>
        <v>-85.347020000000015</v>
      </c>
      <c r="J92" s="168">
        <f t="shared" si="7"/>
        <v>0.65021713114754087</v>
      </c>
      <c r="K92" s="168">
        <f t="shared" si="6"/>
        <v>0.25223049284578691</v>
      </c>
      <c r="L92" s="169">
        <f t="shared" si="4"/>
        <v>-470.34702000000004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173">
        <v>6.2</v>
      </c>
      <c r="E93" s="173">
        <v>6.2</v>
      </c>
      <c r="F93" s="172">
        <v>2</v>
      </c>
      <c r="G93" s="172">
        <v>0.48699999999999999</v>
      </c>
      <c r="H93" s="172"/>
      <c r="I93" s="167">
        <f t="shared" si="5"/>
        <v>-1.5129999999999999</v>
      </c>
      <c r="J93" s="168">
        <f t="shared" si="7"/>
        <v>0.24349999999999999</v>
      </c>
      <c r="K93" s="168">
        <f t="shared" si="6"/>
        <v>7.8548387096774183E-2</v>
      </c>
      <c r="L93" s="169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173">
        <v>622.79999999999995</v>
      </c>
      <c r="E94" s="173">
        <v>622.79999999999995</v>
      </c>
      <c r="F94" s="173">
        <v>242</v>
      </c>
      <c r="G94" s="172">
        <f>141.16598+17</f>
        <v>158.16597999999999</v>
      </c>
      <c r="H94" s="172"/>
      <c r="I94" s="167">
        <f t="shared" si="5"/>
        <v>-83.83402000000001</v>
      </c>
      <c r="J94" s="168">
        <f t="shared" si="7"/>
        <v>0.65357842975206604</v>
      </c>
      <c r="K94" s="168">
        <f t="shared" si="6"/>
        <v>0.25395950545921647</v>
      </c>
      <c r="L94" s="169">
        <f t="shared" si="4"/>
        <v>-464.63401999999996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170">
        <v>16081.2</v>
      </c>
      <c r="E95" s="170">
        <v>16081.2</v>
      </c>
      <c r="F95" s="171">
        <f>F96+F105+F107</f>
        <v>6250.3</v>
      </c>
      <c r="G95" s="171">
        <f>G96+G105+G107</f>
        <v>11794.270730000002</v>
      </c>
      <c r="H95" s="172"/>
      <c r="I95" s="167">
        <f t="shared" si="5"/>
        <v>5543.9707300000018</v>
      </c>
      <c r="J95" s="168">
        <f t="shared" si="7"/>
        <v>1.8869927411484251</v>
      </c>
      <c r="K95" s="168">
        <f t="shared" si="6"/>
        <v>0.73341981506355258</v>
      </c>
      <c r="L95" s="169">
        <f t="shared" si="4"/>
        <v>-4286.9292699999987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177">
        <f>D99+D100+D101+D102+D103+D104+D98+D97</f>
        <v>10982.6</v>
      </c>
      <c r="E96" s="177">
        <f>E99+E100+E101+E102+E103+E104+E98+E97</f>
        <v>10982.6</v>
      </c>
      <c r="F96" s="177">
        <f>F99+F100+F101+F102+F103+F104+F98+F97</f>
        <v>4518.2</v>
      </c>
      <c r="G96" s="177">
        <f>G99+G100+G101+G102+G103+G104+G98+G97</f>
        <v>8428.3462400000008</v>
      </c>
      <c r="H96" s="172"/>
      <c r="I96" s="167">
        <f t="shared" si="5"/>
        <v>3910.1462400000009</v>
      </c>
      <c r="J96" s="168">
        <f t="shared" si="7"/>
        <v>1.865421238546324</v>
      </c>
      <c r="K96" s="168">
        <f t="shared" si="6"/>
        <v>0.76742722488299675</v>
      </c>
      <c r="L96" s="169">
        <f t="shared" si="4"/>
        <v>-2554.2537599999996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177">
        <v>5</v>
      </c>
      <c r="E97" s="177">
        <v>5</v>
      </c>
      <c r="F97" s="177">
        <v>0</v>
      </c>
      <c r="G97" s="177">
        <v>0</v>
      </c>
      <c r="H97" s="172"/>
      <c r="I97" s="167">
        <f t="shared" si="5"/>
        <v>0</v>
      </c>
      <c r="J97" s="168">
        <v>0</v>
      </c>
      <c r="K97" s="168">
        <f t="shared" si="6"/>
        <v>0</v>
      </c>
      <c r="L97" s="169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173">
        <v>2</v>
      </c>
      <c r="E98" s="173">
        <v>2</v>
      </c>
      <c r="F98" s="173">
        <v>1</v>
      </c>
      <c r="G98" s="172">
        <v>0.78</v>
      </c>
      <c r="H98" s="172"/>
      <c r="I98" s="167">
        <f t="shared" si="5"/>
        <v>-0.21999999999999997</v>
      </c>
      <c r="J98" s="168">
        <f t="shared" si="7"/>
        <v>0.78</v>
      </c>
      <c r="K98" s="168">
        <f t="shared" si="6"/>
        <v>0.39</v>
      </c>
      <c r="L98" s="169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173">
        <v>3.5</v>
      </c>
      <c r="E99" s="173">
        <v>3.5</v>
      </c>
      <c r="F99" s="173">
        <v>1.7</v>
      </c>
      <c r="G99" s="172">
        <v>3.9</v>
      </c>
      <c r="H99" s="172"/>
      <c r="I99" s="167">
        <f t="shared" si="5"/>
        <v>2.2000000000000002</v>
      </c>
      <c r="J99" s="168">
        <f t="shared" si="7"/>
        <v>2.2941176470588234</v>
      </c>
      <c r="K99" s="168">
        <f t="shared" si="6"/>
        <v>1.1142857142857143</v>
      </c>
      <c r="L99" s="169">
        <f t="shared" si="4"/>
        <v>0.39999999999999991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173">
        <v>120</v>
      </c>
      <c r="E100" s="173">
        <v>120</v>
      </c>
      <c r="F100" s="173">
        <v>62</v>
      </c>
      <c r="G100" s="172">
        <v>23.100999999999999</v>
      </c>
      <c r="H100" s="172"/>
      <c r="I100" s="167">
        <f t="shared" si="5"/>
        <v>-38.899000000000001</v>
      </c>
      <c r="J100" s="168">
        <f t="shared" si="7"/>
        <v>0.37259677419354836</v>
      </c>
      <c r="K100" s="168">
        <f t="shared" si="6"/>
        <v>0.19250833333333334</v>
      </c>
      <c r="L100" s="169">
        <f t="shared" si="4"/>
        <v>-96.899000000000001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173">
        <v>2000</v>
      </c>
      <c r="E101" s="173">
        <v>2000</v>
      </c>
      <c r="F101" s="173">
        <v>1000</v>
      </c>
      <c r="G101" s="172">
        <v>1014.355</v>
      </c>
      <c r="H101" s="172"/>
      <c r="I101" s="167">
        <f t="shared" si="5"/>
        <v>14.355000000000018</v>
      </c>
      <c r="J101" s="168">
        <f t="shared" si="7"/>
        <v>1.0143550000000001</v>
      </c>
      <c r="K101" s="168">
        <f t="shared" si="6"/>
        <v>0.50717750000000006</v>
      </c>
      <c r="L101" s="169">
        <f t="shared" si="4"/>
        <v>-985.64499999999998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173">
        <v>7878.1</v>
      </c>
      <c r="E102" s="173">
        <v>7878.1</v>
      </c>
      <c r="F102" s="173">
        <v>3090</v>
      </c>
      <c r="G102" s="172">
        <v>3205.6635500000002</v>
      </c>
      <c r="H102" s="172"/>
      <c r="I102" s="167">
        <f t="shared" si="5"/>
        <v>115.66355000000021</v>
      </c>
      <c r="J102" s="168">
        <f t="shared" si="7"/>
        <v>1.0374315695792882</v>
      </c>
      <c r="K102" s="168">
        <f t="shared" si="6"/>
        <v>0.40690820756273721</v>
      </c>
      <c r="L102" s="169">
        <f t="shared" si="4"/>
        <v>-4672.4364500000001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173">
        <v>974</v>
      </c>
      <c r="E103" s="173">
        <v>974</v>
      </c>
      <c r="F103" s="173">
        <v>363.5</v>
      </c>
      <c r="G103" s="172">
        <v>343.99563000000001</v>
      </c>
      <c r="H103" s="172"/>
      <c r="I103" s="167">
        <f t="shared" si="5"/>
        <v>-19.504369999999994</v>
      </c>
      <c r="J103" s="168">
        <f t="shared" si="7"/>
        <v>0.94634286107290233</v>
      </c>
      <c r="K103" s="168">
        <f t="shared" si="6"/>
        <v>0.35317826488706366</v>
      </c>
      <c r="L103" s="169">
        <f t="shared" si="4"/>
        <v>-630.00436999999999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173"/>
      <c r="E104" s="173">
        <v>0</v>
      </c>
      <c r="F104" s="173">
        <v>0</v>
      </c>
      <c r="G104" s="172">
        <v>3836.5510599999998</v>
      </c>
      <c r="H104" s="172"/>
      <c r="I104" s="167">
        <f t="shared" si="5"/>
        <v>3836.5510599999998</v>
      </c>
      <c r="J104" s="168">
        <v>0</v>
      </c>
      <c r="K104" s="168">
        <v>0</v>
      </c>
      <c r="L104" s="169">
        <f t="shared" si="4"/>
        <v>3836.5510599999998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170">
        <v>4496.8</v>
      </c>
      <c r="E105" s="170">
        <v>4496.8</v>
      </c>
      <c r="F105" s="174">
        <f>F106</f>
        <v>1580</v>
      </c>
      <c r="G105" s="196">
        <f>G106</f>
        <v>2055.9178200000001</v>
      </c>
      <c r="H105" s="172"/>
      <c r="I105" s="167">
        <f t="shared" si="5"/>
        <v>475.91782000000012</v>
      </c>
      <c r="J105" s="168">
        <f t="shared" si="7"/>
        <v>1.3012138101265824</v>
      </c>
      <c r="K105" s="168">
        <f t="shared" si="6"/>
        <v>0.45719574363992171</v>
      </c>
      <c r="L105" s="169">
        <f t="shared" si="4"/>
        <v>-2440.8821800000001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173">
        <v>4496.8</v>
      </c>
      <c r="E106" s="173">
        <v>4496.8</v>
      </c>
      <c r="F106" s="173">
        <v>1580</v>
      </c>
      <c r="G106" s="176">
        <f>251.49971+1804.41811</f>
        <v>2055.9178200000001</v>
      </c>
      <c r="H106" s="172"/>
      <c r="I106" s="167">
        <f t="shared" si="5"/>
        <v>475.91782000000012</v>
      </c>
      <c r="J106" s="168">
        <f t="shared" si="7"/>
        <v>1.3012138101265824</v>
      </c>
      <c r="K106" s="168">
        <f t="shared" si="6"/>
        <v>0.45719574363992171</v>
      </c>
      <c r="L106" s="169">
        <f t="shared" si="4"/>
        <v>-2440.8821800000001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175">
        <v>601.79999999999995</v>
      </c>
      <c r="E107" s="175">
        <v>601.79999999999995</v>
      </c>
      <c r="F107" s="174">
        <f>F108+F109+F110+F111</f>
        <v>152.1</v>
      </c>
      <c r="G107" s="174">
        <f>G108+G109+G110+G111</f>
        <v>1310.00667</v>
      </c>
      <c r="H107" s="172"/>
      <c r="I107" s="167">
        <f t="shared" si="5"/>
        <v>1157.9066700000001</v>
      </c>
      <c r="J107" s="168">
        <f t="shared" si="7"/>
        <v>8.6127986193293893</v>
      </c>
      <c r="K107" s="168">
        <f t="shared" si="6"/>
        <v>2.1768140079760721</v>
      </c>
      <c r="L107" s="169">
        <f t="shared" si="4"/>
        <v>708.20667000000003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173">
        <v>549</v>
      </c>
      <c r="E108" s="173">
        <v>549</v>
      </c>
      <c r="F108" s="173">
        <v>132.5</v>
      </c>
      <c r="G108" s="172">
        <v>146.99293</v>
      </c>
      <c r="H108" s="172"/>
      <c r="I108" s="167">
        <f t="shared" si="5"/>
        <v>14.492930000000001</v>
      </c>
      <c r="J108" s="168">
        <f t="shared" si="7"/>
        <v>1.1093806037735849</v>
      </c>
      <c r="K108" s="168">
        <f t="shared" si="6"/>
        <v>0.26774668488160291</v>
      </c>
      <c r="L108" s="169">
        <f t="shared" si="4"/>
        <v>-402.00707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173">
        <v>0</v>
      </c>
      <c r="E109" s="173">
        <v>0</v>
      </c>
      <c r="F109" s="173">
        <v>0</v>
      </c>
      <c r="G109" s="172">
        <v>258.71069999999997</v>
      </c>
      <c r="H109" s="172"/>
      <c r="I109" s="167">
        <f t="shared" si="5"/>
        <v>258.71069999999997</v>
      </c>
      <c r="J109" s="168">
        <v>0</v>
      </c>
      <c r="K109" s="168">
        <v>0</v>
      </c>
      <c r="L109" s="169">
        <f t="shared" si="4"/>
        <v>258.71069999999997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173">
        <v>0</v>
      </c>
      <c r="E110" s="173">
        <v>0</v>
      </c>
      <c r="F110" s="173">
        <v>0</v>
      </c>
      <c r="G110" s="172">
        <v>18.036269999999998</v>
      </c>
      <c r="H110" s="172"/>
      <c r="I110" s="167">
        <f t="shared" si="5"/>
        <v>18.036269999999998</v>
      </c>
      <c r="J110" s="168">
        <v>0</v>
      </c>
      <c r="K110" s="168">
        <v>0</v>
      </c>
      <c r="L110" s="169">
        <f t="shared" si="4"/>
        <v>18.036269999999998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173">
        <v>52.8</v>
      </c>
      <c r="E111" s="173">
        <v>52.8</v>
      </c>
      <c r="F111" s="173">
        <v>19.600000000000001</v>
      </c>
      <c r="G111" s="172">
        <v>886.26676999999995</v>
      </c>
      <c r="H111" s="172"/>
      <c r="I111" s="167">
        <f t="shared" si="5"/>
        <v>866.66676999999993</v>
      </c>
      <c r="J111" s="168">
        <f t="shared" si="7"/>
        <v>45.217692346938769</v>
      </c>
      <c r="K111" s="168">
        <f t="shared" si="6"/>
        <v>16.785355492424241</v>
      </c>
      <c r="L111" s="169">
        <f t="shared" si="4"/>
        <v>833.46677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175">
        <v>162.30000000000001</v>
      </c>
      <c r="E112" s="175">
        <v>162.30000000000001</v>
      </c>
      <c r="F112" s="174">
        <f>F114+F113</f>
        <v>57.6</v>
      </c>
      <c r="G112" s="174">
        <f>G114+G113</f>
        <v>64.974810000000005</v>
      </c>
      <c r="H112" s="177"/>
      <c r="I112" s="167">
        <f t="shared" si="5"/>
        <v>7.3748100000000036</v>
      </c>
      <c r="J112" s="168">
        <f t="shared" si="7"/>
        <v>1.1280348958333335</v>
      </c>
      <c r="K112" s="168">
        <f t="shared" si="6"/>
        <v>0.40033770794824397</v>
      </c>
      <c r="L112" s="169">
        <f t="shared" si="4"/>
        <v>-97.325190000000006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173">
        <v>20</v>
      </c>
      <c r="E113" s="173">
        <v>20</v>
      </c>
      <c r="F113" s="173">
        <v>0</v>
      </c>
      <c r="G113" s="172">
        <v>0</v>
      </c>
      <c r="H113" s="172"/>
      <c r="I113" s="167">
        <f t="shared" si="5"/>
        <v>0</v>
      </c>
      <c r="J113" s="168">
        <v>0</v>
      </c>
      <c r="K113" s="168">
        <f t="shared" si="6"/>
        <v>0</v>
      </c>
      <c r="L113" s="169">
        <f t="shared" si="4"/>
        <v>-20</v>
      </c>
      <c r="M113" s="25"/>
      <c r="N113" s="12"/>
      <c r="O113" s="12"/>
    </row>
    <row r="114" spans="1:15" s="13" customFormat="1" ht="64.5" x14ac:dyDescent="0.45">
      <c r="A114" s="38"/>
      <c r="B114" s="35">
        <v>24060000</v>
      </c>
      <c r="C114" s="45" t="s">
        <v>118</v>
      </c>
      <c r="D114" s="173">
        <v>142.30000000000001</v>
      </c>
      <c r="E114" s="173">
        <v>142.30000000000001</v>
      </c>
      <c r="F114" s="172">
        <f>F115</f>
        <v>57.6</v>
      </c>
      <c r="G114" s="172">
        <f>G115</f>
        <v>64.974810000000005</v>
      </c>
      <c r="H114" s="172"/>
      <c r="I114" s="167">
        <f t="shared" si="5"/>
        <v>7.3748100000000036</v>
      </c>
      <c r="J114" s="168">
        <f t="shared" si="7"/>
        <v>1.1280348958333335</v>
      </c>
      <c r="K114" s="168">
        <f t="shared" si="6"/>
        <v>0.45660442726633871</v>
      </c>
      <c r="L114" s="169">
        <f t="shared" si="4"/>
        <v>-77.325190000000006</v>
      </c>
      <c r="M114" s="25"/>
      <c r="N114" s="12"/>
      <c r="O114" s="12"/>
    </row>
    <row r="115" spans="1:15" s="13" customFormat="1" ht="64.5" x14ac:dyDescent="0.45">
      <c r="A115" s="38"/>
      <c r="B115" s="35">
        <v>24060300</v>
      </c>
      <c r="C115" s="45" t="s">
        <v>119</v>
      </c>
      <c r="D115" s="178">
        <v>142.30000000000001</v>
      </c>
      <c r="E115" s="178">
        <v>142.30000000000001</v>
      </c>
      <c r="F115" s="178">
        <v>57.6</v>
      </c>
      <c r="G115" s="179">
        <v>64.974810000000005</v>
      </c>
      <c r="H115" s="172"/>
      <c r="I115" s="167">
        <f t="shared" si="5"/>
        <v>7.3748100000000036</v>
      </c>
      <c r="J115" s="168">
        <f t="shared" si="7"/>
        <v>1.1280348958333335</v>
      </c>
      <c r="K115" s="168">
        <f t="shared" si="6"/>
        <v>0.45660442726633871</v>
      </c>
      <c r="L115" s="169">
        <f t="shared" si="4"/>
        <v>-77.325190000000006</v>
      </c>
      <c r="M115" s="25"/>
      <c r="N115" s="12"/>
      <c r="O115" s="12"/>
    </row>
    <row r="116" spans="1:15" s="13" customFormat="1" ht="64.5" x14ac:dyDescent="0.45">
      <c r="A116" s="38"/>
      <c r="B116" s="39">
        <v>30000000</v>
      </c>
      <c r="C116" s="49" t="s">
        <v>120</v>
      </c>
      <c r="D116" s="170">
        <v>48.4</v>
      </c>
      <c r="E116" s="170">
        <v>48.4</v>
      </c>
      <c r="F116" s="171">
        <f>F117</f>
        <v>23</v>
      </c>
      <c r="G116" s="171">
        <f>G117</f>
        <v>13.117800000000001</v>
      </c>
      <c r="H116" s="180"/>
      <c r="I116" s="167">
        <f t="shared" si="5"/>
        <v>-9.8821999999999992</v>
      </c>
      <c r="J116" s="168">
        <f t="shared" si="7"/>
        <v>0.57033913043478268</v>
      </c>
      <c r="K116" s="168">
        <f t="shared" si="6"/>
        <v>0.27102892561983472</v>
      </c>
      <c r="L116" s="169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181">
        <v>48.4</v>
      </c>
      <c r="E117" s="181">
        <v>48.4</v>
      </c>
      <c r="F117" s="182">
        <f>F118</f>
        <v>23</v>
      </c>
      <c r="G117" s="182">
        <f>G118</f>
        <v>13.117800000000001</v>
      </c>
      <c r="H117" s="172"/>
      <c r="I117" s="167">
        <f t="shared" si="5"/>
        <v>-9.8821999999999992</v>
      </c>
      <c r="J117" s="168">
        <f t="shared" si="7"/>
        <v>0.57033913043478268</v>
      </c>
      <c r="K117" s="168">
        <f t="shared" si="6"/>
        <v>0.27102892561983472</v>
      </c>
      <c r="L117" s="169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183">
        <v>48.4</v>
      </c>
      <c r="E118" s="183">
        <v>48.4</v>
      </c>
      <c r="F118" s="183">
        <v>23</v>
      </c>
      <c r="G118" s="184">
        <v>13.117800000000001</v>
      </c>
      <c r="H118" s="184"/>
      <c r="I118" s="167">
        <f t="shared" si="5"/>
        <v>-9.8821999999999992</v>
      </c>
      <c r="J118" s="168">
        <f t="shared" si="7"/>
        <v>0.57033913043478268</v>
      </c>
      <c r="K118" s="168">
        <f t="shared" si="6"/>
        <v>0.27102892561983472</v>
      </c>
      <c r="L118" s="169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182"/>
      <c r="E119" s="182"/>
      <c r="F119" s="182"/>
      <c r="G119" s="182"/>
      <c r="H119" s="182"/>
      <c r="I119" s="167">
        <f t="shared" si="5"/>
        <v>0</v>
      </c>
      <c r="J119" s="168" t="e">
        <f t="shared" si="7"/>
        <v>#DIV/0!</v>
      </c>
      <c r="K119" s="168" t="e">
        <f t="shared" si="6"/>
        <v>#DIV/0!</v>
      </c>
      <c r="L119" s="169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79"/>
      <c r="E120" s="179"/>
      <c r="F120" s="179"/>
      <c r="G120" s="185"/>
      <c r="H120" s="185"/>
      <c r="I120" s="186">
        <f t="shared" si="5"/>
        <v>0</v>
      </c>
      <c r="J120" s="187" t="e">
        <f t="shared" si="7"/>
        <v>#DIV/0!</v>
      </c>
      <c r="K120" s="187" t="e">
        <f t="shared" si="6"/>
        <v>#DIV/0!</v>
      </c>
      <c r="L120" s="188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189">
        <v>1096783</v>
      </c>
      <c r="E121" s="190">
        <f>E5+E87+E116</f>
        <v>1393427.7999999998</v>
      </c>
      <c r="F121" s="190">
        <f>F5+F87+F116</f>
        <v>683939.5</v>
      </c>
      <c r="G121" s="190">
        <f>G5+G87+G116</f>
        <v>724228.44088000013</v>
      </c>
      <c r="H121" s="191"/>
      <c r="I121" s="192">
        <f>G121-F121</f>
        <v>40288.940880000126</v>
      </c>
      <c r="J121" s="193">
        <f t="shared" si="7"/>
        <v>1.0589071707073507</v>
      </c>
      <c r="K121" s="193">
        <f t="shared" si="6"/>
        <v>0.51974593938774594</v>
      </c>
      <c r="L121" s="194">
        <f>G121-E121</f>
        <v>-669199.35911999969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zoomScale="30" zoomScaleNormal="50" zoomScaleSheetLayoutView="30" workbookViewId="0">
      <selection activeCell="C11" sqref="C11"/>
    </sheetView>
  </sheetViews>
  <sheetFormatPr defaultRowHeight="25.5" x14ac:dyDescent="0.35"/>
  <cols>
    <col min="1" max="1" width="0.710937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5">
      <c r="A1" s="1"/>
      <c r="B1" s="2"/>
      <c r="C1" s="199" t="s">
        <v>145</v>
      </c>
      <c r="D1" s="199"/>
      <c r="E1" s="199"/>
      <c r="F1" s="199"/>
      <c r="G1" s="199"/>
      <c r="H1" s="199"/>
      <c r="I1" s="199"/>
      <c r="J1" s="200"/>
      <c r="K1" s="200"/>
      <c r="L1" s="200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139</v>
      </c>
      <c r="G3" s="10" t="s">
        <v>7</v>
      </c>
      <c r="H3" s="11" t="s">
        <v>7</v>
      </c>
      <c r="I3" s="197" t="s">
        <v>141</v>
      </c>
      <c r="J3" s="197" t="s">
        <v>140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42153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64">
        <v>1078584.8</v>
      </c>
      <c r="E5" s="165">
        <f>E6+E31+E44+E46+E49+E82</f>
        <v>1375229.5999999999</v>
      </c>
      <c r="F5" s="165">
        <f>F6+F31+F44+F46+F49+F82</f>
        <v>624183</v>
      </c>
      <c r="G5" s="165">
        <f>G6+G31+G44+G46+G49+G82</f>
        <v>598856.28028099996</v>
      </c>
      <c r="H5" s="166"/>
      <c r="I5" s="167">
        <f>G5-F5</f>
        <v>-25326.719719000044</v>
      </c>
      <c r="J5" s="168">
        <f>G5/F5</f>
        <v>0.95942420777400206</v>
      </c>
      <c r="K5" s="168">
        <f>G5/E5</f>
        <v>0.43545912644768553</v>
      </c>
      <c r="L5" s="169">
        <f>G5-E5</f>
        <v>-776373.3197189999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64">
        <v>705340.9</v>
      </c>
      <c r="E6" s="165">
        <f>E7+E13</f>
        <v>770266.4</v>
      </c>
      <c r="F6" s="165">
        <f>F7+F13</f>
        <v>361888.9</v>
      </c>
      <c r="G6" s="165">
        <f>G7+G13</f>
        <v>410469.03833999997</v>
      </c>
      <c r="H6" s="166"/>
      <c r="I6" s="167">
        <f>G6-F6</f>
        <v>48580.138339999947</v>
      </c>
      <c r="J6" s="168">
        <f>G6/F6</f>
        <v>1.1342404764003537</v>
      </c>
      <c r="K6" s="168">
        <f t="shared" ref="K6:K66" si="0">G6/E6</f>
        <v>0.53289230627221951</v>
      </c>
      <c r="L6" s="169">
        <f t="shared" ref="L6:L69" si="1">G6-E6</f>
        <v>-359797.36166000005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170">
        <f>(SUM([1]Голосіїв!O12))/1000</f>
        <v>704381.4</v>
      </c>
      <c r="E7" s="171">
        <f>E8+E9+E11+E12+E10</f>
        <v>704381.4</v>
      </c>
      <c r="F7" s="171">
        <f>F8+F9+F11+F12+F10</f>
        <v>301600</v>
      </c>
      <c r="G7" s="171">
        <f>G8+G9+G11+G12+G10</f>
        <v>321816.72278999997</v>
      </c>
      <c r="H7" s="172">
        <f>('[1]класифікація (2011)'!C8-'[1]класифікація (2011)'!C12-'[1]класифікація (2011)'!C24)/1000</f>
        <v>93520.299014999997</v>
      </c>
      <c r="I7" s="167">
        <f>G7-F7</f>
        <v>20216.722789999971</v>
      </c>
      <c r="J7" s="168">
        <f>G7/F7</f>
        <v>1.0670315742374004</v>
      </c>
      <c r="K7" s="168">
        <f t="shared" si="0"/>
        <v>0.45687850756706516</v>
      </c>
      <c r="L7" s="169">
        <f t="shared" si="1"/>
        <v>-382564.67721000005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173">
        <v>631281.4</v>
      </c>
      <c r="E8" s="173">
        <v>631281.4</v>
      </c>
      <c r="F8" s="173">
        <v>270800</v>
      </c>
      <c r="G8" s="172">
        <f>728417.53797-437050.52281</f>
        <v>291367.01515999995</v>
      </c>
      <c r="H8" s="172"/>
      <c r="I8" s="167">
        <f t="shared" ref="I8:I72" si="2">G8-F8</f>
        <v>20567.015159999952</v>
      </c>
      <c r="J8" s="168">
        <f>G8/F8</f>
        <v>1.0759490958641063</v>
      </c>
      <c r="K8" s="168">
        <f t="shared" si="0"/>
        <v>0.46154855055130711</v>
      </c>
      <c r="L8" s="169">
        <f t="shared" si="1"/>
        <v>-339914.38484000007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173">
        <v>7200</v>
      </c>
      <c r="E9" s="173">
        <v>7200</v>
      </c>
      <c r="F9" s="173">
        <v>3300</v>
      </c>
      <c r="G9" s="172">
        <f>7501.71726-4501.03037</f>
        <v>3000.6868899999999</v>
      </c>
      <c r="H9" s="172"/>
      <c r="I9" s="167">
        <f t="shared" si="2"/>
        <v>-299.31311000000005</v>
      </c>
      <c r="J9" s="168">
        <f>G9/F9</f>
        <v>0.90929905757575757</v>
      </c>
      <c r="K9" s="168">
        <f t="shared" si="0"/>
        <v>0.41676206805555555</v>
      </c>
      <c r="L9" s="169">
        <f t="shared" si="1"/>
        <v>-4199.3131100000001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173">
        <v>0</v>
      </c>
      <c r="E10" s="173">
        <v>0</v>
      </c>
      <c r="F10" s="173">
        <v>0</v>
      </c>
      <c r="G10" s="172">
        <f>0.51891-0.31134</f>
        <v>0.20756999999999998</v>
      </c>
      <c r="H10" s="172"/>
      <c r="I10" s="167">
        <f t="shared" si="2"/>
        <v>0.20756999999999998</v>
      </c>
      <c r="J10" s="168">
        <v>0</v>
      </c>
      <c r="K10" s="168">
        <v>0</v>
      </c>
      <c r="L10" s="169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173">
        <v>40000</v>
      </c>
      <c r="E11" s="173">
        <v>40000</v>
      </c>
      <c r="F11" s="173">
        <v>19200</v>
      </c>
      <c r="G11" s="172">
        <f>50257.01022-30154.20613</f>
        <v>20102.804089999998</v>
      </c>
      <c r="H11" s="172"/>
      <c r="I11" s="167">
        <f t="shared" si="2"/>
        <v>902.80408999999781</v>
      </c>
      <c r="J11" s="168">
        <f>G11/F11</f>
        <v>1.0470210463541665</v>
      </c>
      <c r="K11" s="168">
        <f t="shared" si="0"/>
        <v>0.50257010224999998</v>
      </c>
      <c r="L11" s="169">
        <f t="shared" si="1"/>
        <v>-19897.195910000002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173">
        <v>25900</v>
      </c>
      <c r="E12" s="173">
        <v>25900</v>
      </c>
      <c r="F12" s="173">
        <v>8300</v>
      </c>
      <c r="G12" s="172">
        <f>18365.02265-11019.01357</f>
        <v>7346.0090799999998</v>
      </c>
      <c r="H12" s="172"/>
      <c r="I12" s="167">
        <f t="shared" si="2"/>
        <v>-953.99092000000019</v>
      </c>
      <c r="J12" s="168">
        <f>G12/F12</f>
        <v>0.88506133493975903</v>
      </c>
      <c r="K12" s="168">
        <f t="shared" si="0"/>
        <v>0.28362969420849421</v>
      </c>
      <c r="L12" s="169">
        <f t="shared" si="1"/>
        <v>-18553.99092</v>
      </c>
      <c r="M12" s="25"/>
      <c r="N12" s="12"/>
      <c r="O12" s="12"/>
    </row>
    <row r="13" spans="1:15" s="13" customFormat="1" ht="64.5" x14ac:dyDescent="0.45">
      <c r="A13" s="38"/>
      <c r="B13" s="39">
        <v>11020000</v>
      </c>
      <c r="C13" s="31" t="s">
        <v>20</v>
      </c>
      <c r="D13" s="170">
        <v>959.5</v>
      </c>
      <c r="E13" s="171">
        <f>E14+E15+E23+E16+E17+E18+E19+E20+E21+E22+E24+E25+E26+E27+E28+E29+E30</f>
        <v>65885</v>
      </c>
      <c r="F13" s="171">
        <f>F14+F15+F23+F16+F17+F18+F19+F20+F21+F22+F24+F25+F26+F27+F28+F29+F30</f>
        <v>60288.9</v>
      </c>
      <c r="G13" s="171">
        <f>G14+G15+G23+G16+G17+G18+G19+G20+G21+G22+G24+G25+G26+G27+G28+G29+G30</f>
        <v>88652.315549999985</v>
      </c>
      <c r="H13" s="172"/>
      <c r="I13" s="167">
        <f t="shared" si="2"/>
        <v>28363.415549999983</v>
      </c>
      <c r="J13" s="168">
        <f>G13/F13</f>
        <v>1.4704583356140182</v>
      </c>
      <c r="K13" s="168">
        <f t="shared" si="0"/>
        <v>1.3455614411474537</v>
      </c>
      <c r="L13" s="169">
        <f t="shared" si="1"/>
        <v>22767.315549999985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173">
        <v>487.5</v>
      </c>
      <c r="E14" s="173">
        <v>487.5</v>
      </c>
      <c r="F14" s="173">
        <v>201.4</v>
      </c>
      <c r="G14" s="172">
        <v>197.99065999999999</v>
      </c>
      <c r="H14" s="172"/>
      <c r="I14" s="167">
        <f t="shared" si="2"/>
        <v>-3.4093400000000145</v>
      </c>
      <c r="J14" s="168">
        <f>G14/F14</f>
        <v>0.98307179741807338</v>
      </c>
      <c r="K14" s="168">
        <f t="shared" si="0"/>
        <v>0.40613468717948714</v>
      </c>
      <c r="L14" s="169">
        <f t="shared" si="1"/>
        <v>-289.50934000000001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173"/>
      <c r="E15" s="173"/>
      <c r="F15" s="173">
        <v>0</v>
      </c>
      <c r="G15" s="172">
        <v>120.693</v>
      </c>
      <c r="H15" s="172"/>
      <c r="I15" s="167">
        <f t="shared" si="2"/>
        <v>120.693</v>
      </c>
      <c r="J15" s="168">
        <v>0</v>
      </c>
      <c r="K15" s="168">
        <v>0</v>
      </c>
      <c r="L15" s="169">
        <f t="shared" si="1"/>
        <v>120.693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173"/>
      <c r="E16" s="173">
        <v>5851.3</v>
      </c>
      <c r="F16" s="173">
        <v>5851.3</v>
      </c>
      <c r="G16" s="172">
        <f>185037.9928-166534.19351</f>
        <v>18503.799289999995</v>
      </c>
      <c r="H16" s="172"/>
      <c r="I16" s="167">
        <f t="shared" si="2"/>
        <v>12652.499289999996</v>
      </c>
      <c r="J16" s="168">
        <v>0</v>
      </c>
      <c r="K16" s="168">
        <f t="shared" si="0"/>
        <v>3.1623398714815503</v>
      </c>
      <c r="L16" s="169">
        <f t="shared" si="1"/>
        <v>12652.499289999996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173"/>
      <c r="E17" s="173">
        <v>7205.9</v>
      </c>
      <c r="F17" s="173">
        <v>7205.9</v>
      </c>
      <c r="G17" s="172">
        <f>57710.61262-51939.55127</f>
        <v>5771.0613499999963</v>
      </c>
      <c r="H17" s="172"/>
      <c r="I17" s="167">
        <f t="shared" si="2"/>
        <v>-1434.8386500000033</v>
      </c>
      <c r="J17" s="168">
        <v>0</v>
      </c>
      <c r="K17" s="168">
        <f t="shared" si="0"/>
        <v>0.80088002192647645</v>
      </c>
      <c r="L17" s="169">
        <f t="shared" si="1"/>
        <v>-1434.8386500000033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173"/>
      <c r="E18" s="173">
        <v>3343.9</v>
      </c>
      <c r="F18" s="173">
        <v>1630.8</v>
      </c>
      <c r="G18" s="172">
        <f>7293.25034-6563.92531</f>
        <v>729.32502999999997</v>
      </c>
      <c r="H18" s="172"/>
      <c r="I18" s="167">
        <f t="shared" si="2"/>
        <v>-901.47496999999998</v>
      </c>
      <c r="J18" s="168">
        <v>0</v>
      </c>
      <c r="K18" s="168">
        <f t="shared" si="0"/>
        <v>0.21810611262298513</v>
      </c>
      <c r="L18" s="169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173"/>
      <c r="E19" s="173">
        <v>652.20000000000005</v>
      </c>
      <c r="F19" s="173">
        <v>318.10000000000002</v>
      </c>
      <c r="G19" s="172">
        <f>20825.72348-18743.15113</f>
        <v>2082.5723500000022</v>
      </c>
      <c r="H19" s="172"/>
      <c r="I19" s="167">
        <f t="shared" si="2"/>
        <v>1764.4723500000023</v>
      </c>
      <c r="J19" s="168">
        <v>0</v>
      </c>
      <c r="K19" s="168">
        <f t="shared" si="0"/>
        <v>3.193149877338243</v>
      </c>
      <c r="L19" s="169">
        <f t="shared" si="1"/>
        <v>1430.3723500000021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173"/>
      <c r="E20" s="173">
        <v>56</v>
      </c>
      <c r="F20" s="173">
        <v>27.3</v>
      </c>
      <c r="G20" s="172">
        <f>1215.2223-1093.70006</f>
        <v>121.52224000000001</v>
      </c>
      <c r="H20" s="172"/>
      <c r="I20" s="167">
        <f t="shared" si="2"/>
        <v>94.222240000000014</v>
      </c>
      <c r="J20" s="168">
        <v>0</v>
      </c>
      <c r="K20" s="168">
        <f t="shared" si="0"/>
        <v>2.1700400000000002</v>
      </c>
      <c r="L20" s="169">
        <f t="shared" si="1"/>
        <v>65.522240000000011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173"/>
      <c r="E21" s="173">
        <v>8307.2999999999993</v>
      </c>
      <c r="F21" s="173">
        <v>8307.2999999999993</v>
      </c>
      <c r="G21" s="172">
        <f>150103.4001-135093.05998</f>
        <v>15010.340120000008</v>
      </c>
      <c r="H21" s="172"/>
      <c r="I21" s="167">
        <f t="shared" si="2"/>
        <v>6703.0401200000088</v>
      </c>
      <c r="J21" s="168">
        <v>0</v>
      </c>
      <c r="K21" s="168">
        <f t="shared" si="0"/>
        <v>1.806885524779412</v>
      </c>
      <c r="L21" s="169">
        <f t="shared" si="1"/>
        <v>6703.0401200000088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173"/>
      <c r="E22" s="173">
        <v>54.3</v>
      </c>
      <c r="F22" s="173">
        <v>26.5</v>
      </c>
      <c r="G22" s="172">
        <f>1815.17693-1633.65924</f>
        <v>181.51769000000013</v>
      </c>
      <c r="H22" s="172"/>
      <c r="I22" s="167">
        <f t="shared" si="2"/>
        <v>155.01769000000013</v>
      </c>
      <c r="J22" s="168">
        <v>0</v>
      </c>
      <c r="K22" s="168">
        <f t="shared" si="0"/>
        <v>3.3428672191528572</v>
      </c>
      <c r="L22" s="169">
        <f t="shared" si="1"/>
        <v>127.21769000000013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173">
        <v>472</v>
      </c>
      <c r="E23" s="173">
        <v>472</v>
      </c>
      <c r="F23" s="173">
        <v>194</v>
      </c>
      <c r="G23" s="172">
        <f>147.851+3.298</f>
        <v>151.149</v>
      </c>
      <c r="H23" s="172"/>
      <c r="I23" s="167">
        <f t="shared" si="2"/>
        <v>-42.850999999999999</v>
      </c>
      <c r="J23" s="168">
        <f>G23/F23</f>
        <v>0.77911855670103092</v>
      </c>
      <c r="K23" s="168">
        <f t="shared" si="0"/>
        <v>0.32023093220338983</v>
      </c>
      <c r="L23" s="169">
        <f t="shared" si="1"/>
        <v>-320.851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173"/>
      <c r="E24" s="173">
        <v>16819.900000000001</v>
      </c>
      <c r="F24" s="173">
        <v>16819.900000000001</v>
      </c>
      <c r="G24" s="172">
        <f>163680.61414-147312.55272</f>
        <v>16368.061419999984</v>
      </c>
      <c r="H24" s="172"/>
      <c r="I24" s="167">
        <f t="shared" si="2"/>
        <v>-451.83858000001783</v>
      </c>
      <c r="J24" s="168">
        <v>0</v>
      </c>
      <c r="K24" s="168">
        <f t="shared" si="0"/>
        <v>0.97313666668648335</v>
      </c>
      <c r="L24" s="169">
        <f t="shared" si="1"/>
        <v>-451.83858000001783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173"/>
      <c r="E25" s="173">
        <v>345.5</v>
      </c>
      <c r="F25" s="173">
        <v>168.5</v>
      </c>
      <c r="G25" s="172">
        <f>4804.28-4323.852</f>
        <v>480.42799999999988</v>
      </c>
      <c r="H25" s="172"/>
      <c r="I25" s="167">
        <f t="shared" si="2"/>
        <v>311.92799999999988</v>
      </c>
      <c r="J25" s="168">
        <v>0</v>
      </c>
      <c r="K25" s="168">
        <f t="shared" si="0"/>
        <v>1.390529667149059</v>
      </c>
      <c r="L25" s="169">
        <f t="shared" si="1"/>
        <v>134.92799999999988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173"/>
      <c r="E26" s="173">
        <v>3254.6</v>
      </c>
      <c r="F26" s="173">
        <v>3254.6</v>
      </c>
      <c r="G26" s="172">
        <f>162638.20626-146374.38563</f>
        <v>16263.820630000002</v>
      </c>
      <c r="H26" s="172"/>
      <c r="I26" s="167">
        <f t="shared" si="2"/>
        <v>13009.220630000002</v>
      </c>
      <c r="J26" s="168">
        <v>0</v>
      </c>
      <c r="K26" s="168">
        <f t="shared" si="0"/>
        <v>4.9971795704541275</v>
      </c>
      <c r="L26" s="169">
        <f t="shared" si="1"/>
        <v>13009.220630000002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173"/>
      <c r="E27" s="173">
        <v>1964.8</v>
      </c>
      <c r="F27" s="173">
        <v>958.3</v>
      </c>
      <c r="G27" s="172">
        <f>29460.83397-26514.75057</f>
        <v>2946.0833999999995</v>
      </c>
      <c r="H27" s="172"/>
      <c r="I27" s="167">
        <f t="shared" si="2"/>
        <v>1987.7833999999996</v>
      </c>
      <c r="J27" s="168">
        <v>0</v>
      </c>
      <c r="K27" s="168">
        <f t="shared" si="0"/>
        <v>1.499431697882736</v>
      </c>
      <c r="L27" s="169">
        <f t="shared" si="1"/>
        <v>981.28339999999957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173"/>
      <c r="E28" s="173">
        <v>11.6</v>
      </c>
      <c r="F28" s="173">
        <v>5.6</v>
      </c>
      <c r="G28" s="172">
        <f>0.18041-0.16237</f>
        <v>1.804E-2</v>
      </c>
      <c r="H28" s="172"/>
      <c r="I28" s="167">
        <f t="shared" si="2"/>
        <v>-5.5819599999999996</v>
      </c>
      <c r="J28" s="168">
        <v>0</v>
      </c>
      <c r="K28" s="168">
        <f t="shared" si="0"/>
        <v>1.5551724137931036E-3</v>
      </c>
      <c r="L28" s="169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173"/>
      <c r="E29" s="173">
        <v>17007.3</v>
      </c>
      <c r="F29" s="173">
        <v>15294.6</v>
      </c>
      <c r="G29" s="172">
        <f>96535.8918-86882.30257</f>
        <v>9653.5892299999978</v>
      </c>
      <c r="H29" s="172"/>
      <c r="I29" s="167">
        <f t="shared" si="2"/>
        <v>-5641.0107700000026</v>
      </c>
      <c r="J29" s="168">
        <v>0</v>
      </c>
      <c r="K29" s="168">
        <f t="shared" si="0"/>
        <v>0.56761444967749131</v>
      </c>
      <c r="L29" s="169">
        <f t="shared" si="1"/>
        <v>-7353.7107700000015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173"/>
      <c r="E30" s="173">
        <v>50.9</v>
      </c>
      <c r="F30" s="173">
        <v>24.8</v>
      </c>
      <c r="G30" s="172">
        <f>703.441-633.0969</f>
        <v>70.344100000000026</v>
      </c>
      <c r="H30" s="172"/>
      <c r="I30" s="167">
        <f t="shared" si="2"/>
        <v>45.544100000000029</v>
      </c>
      <c r="J30" s="168">
        <v>0</v>
      </c>
      <c r="K30" s="168">
        <f t="shared" si="0"/>
        <v>1.3820058939096274</v>
      </c>
      <c r="L30" s="169">
        <f t="shared" si="1"/>
        <v>19.444100000000027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170">
        <v>7626.9</v>
      </c>
      <c r="E31" s="171">
        <f>E32+E34+E39+E42</f>
        <v>7626.9</v>
      </c>
      <c r="F31" s="171">
        <f>F32+F34+F39+F42</f>
        <v>3187.3999999999996</v>
      </c>
      <c r="G31" s="171">
        <f>G32+G34+G39+G42</f>
        <v>-83586.862410000002</v>
      </c>
      <c r="H31" s="172"/>
      <c r="I31" s="167">
        <f t="shared" si="2"/>
        <v>-86774.262409999996</v>
      </c>
      <c r="J31" s="168">
        <f>G31/F31</f>
        <v>-26.224152102026732</v>
      </c>
      <c r="K31" s="168">
        <f t="shared" si="0"/>
        <v>-10.959480576643198</v>
      </c>
      <c r="L31" s="169">
        <f t="shared" si="1"/>
        <v>-91213.762409999996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173">
        <v>0</v>
      </c>
      <c r="E32" s="173"/>
      <c r="F32" s="173">
        <v>0</v>
      </c>
      <c r="G32" s="174">
        <f>G33</f>
        <v>26.96754</v>
      </c>
      <c r="H32" s="172"/>
      <c r="I32" s="167">
        <f t="shared" si="2"/>
        <v>26.96754</v>
      </c>
      <c r="J32" s="168">
        <v>0</v>
      </c>
      <c r="K32" s="168">
        <v>0</v>
      </c>
      <c r="L32" s="169">
        <f t="shared" si="1"/>
        <v>26.96754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173">
        <v>0</v>
      </c>
      <c r="E33" s="173"/>
      <c r="F33" s="173">
        <v>0</v>
      </c>
      <c r="G33" s="172">
        <v>26.96754</v>
      </c>
      <c r="H33" s="172"/>
      <c r="I33" s="167">
        <f t="shared" si="2"/>
        <v>26.96754</v>
      </c>
      <c r="J33" s="168">
        <v>0</v>
      </c>
      <c r="K33" s="168">
        <v>0</v>
      </c>
      <c r="L33" s="169">
        <f t="shared" si="1"/>
        <v>26.96754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175">
        <v>6555.9</v>
      </c>
      <c r="E34" s="175">
        <v>6555.9</v>
      </c>
      <c r="F34" s="174">
        <f>F35+F36+F37+F38</f>
        <v>2460.1</v>
      </c>
      <c r="G34" s="174">
        <f>G35+G36+G37+G38</f>
        <v>-83820.959289999999</v>
      </c>
      <c r="H34" s="172"/>
      <c r="I34" s="167">
        <f t="shared" si="2"/>
        <v>-86281.059290000005</v>
      </c>
      <c r="J34" s="168">
        <f>G34/F34</f>
        <v>-34.07217563920166</v>
      </c>
      <c r="K34" s="168">
        <f t="shared" si="0"/>
        <v>-12.785576242773685</v>
      </c>
      <c r="L34" s="169">
        <f t="shared" si="1"/>
        <v>-90376.859289999993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173">
        <v>6555.4</v>
      </c>
      <c r="E35" s="173">
        <v>6555.4</v>
      </c>
      <c r="F35" s="173">
        <v>2460</v>
      </c>
      <c r="G35" s="172">
        <f>16691.84321-8345-92169</f>
        <v>-83822.156790000008</v>
      </c>
      <c r="H35" s="172"/>
      <c r="I35" s="167">
        <f t="shared" si="2"/>
        <v>-86282.156790000008</v>
      </c>
      <c r="J35" s="168">
        <f>G35/F35</f>
        <v>-34.07404747560976</v>
      </c>
      <c r="K35" s="168">
        <f t="shared" si="0"/>
        <v>-12.786734110809411</v>
      </c>
      <c r="L35" s="169">
        <f t="shared" si="1"/>
        <v>-90377.556790000002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173">
        <v>0.5</v>
      </c>
      <c r="E36" s="173">
        <v>0.5</v>
      </c>
      <c r="F36" s="173">
        <v>0.1</v>
      </c>
      <c r="G36" s="172">
        <v>0.31818000000000002</v>
      </c>
      <c r="H36" s="172"/>
      <c r="I36" s="167">
        <f t="shared" si="2"/>
        <v>0.21818000000000001</v>
      </c>
      <c r="J36" s="168">
        <f>G36/F36</f>
        <v>3.1818</v>
      </c>
      <c r="K36" s="168">
        <f t="shared" si="0"/>
        <v>0.63636000000000004</v>
      </c>
      <c r="L36" s="169">
        <f t="shared" si="1"/>
        <v>-0.18181999999999998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173"/>
      <c r="E37" s="173"/>
      <c r="F37" s="173">
        <v>0</v>
      </c>
      <c r="G37" s="172">
        <f>0.91706-0.45853</f>
        <v>0.45852999999999999</v>
      </c>
      <c r="H37" s="172"/>
      <c r="I37" s="167">
        <f t="shared" si="2"/>
        <v>0.45852999999999999</v>
      </c>
      <c r="J37" s="168">
        <v>0</v>
      </c>
      <c r="K37" s="168">
        <v>0</v>
      </c>
      <c r="L37" s="169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173"/>
      <c r="E38" s="173"/>
      <c r="F38" s="173">
        <v>0</v>
      </c>
      <c r="G38" s="172">
        <f>0.84158-0.42079</f>
        <v>0.42079</v>
      </c>
      <c r="H38" s="172"/>
      <c r="I38" s="167">
        <f t="shared" si="2"/>
        <v>0.42079</v>
      </c>
      <c r="J38" s="168">
        <v>0</v>
      </c>
      <c r="K38" s="168">
        <v>0</v>
      </c>
      <c r="L38" s="169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170">
        <v>1070.8</v>
      </c>
      <c r="E39" s="170">
        <v>1070.8</v>
      </c>
      <c r="F39" s="171">
        <f>F41+F40</f>
        <v>727.1</v>
      </c>
      <c r="G39" s="171">
        <f>G41+G40</f>
        <v>206.84723</v>
      </c>
      <c r="H39" s="172"/>
      <c r="I39" s="167">
        <f t="shared" si="2"/>
        <v>-520.25277000000006</v>
      </c>
      <c r="J39" s="168">
        <f>G39/F39</f>
        <v>0.28448250584513823</v>
      </c>
      <c r="K39" s="168">
        <f t="shared" si="0"/>
        <v>0.19317074150168098</v>
      </c>
      <c r="L39" s="169">
        <f t="shared" si="1"/>
        <v>-863.95276999999999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173">
        <v>165.8</v>
      </c>
      <c r="E40" s="173">
        <v>165.8</v>
      </c>
      <c r="F40" s="173">
        <v>42.1</v>
      </c>
      <c r="G40" s="172">
        <f>225.44917-169.0868</f>
        <v>56.362369999999999</v>
      </c>
      <c r="H40" s="172"/>
      <c r="I40" s="167">
        <f t="shared" si="2"/>
        <v>14.262369999999997</v>
      </c>
      <c r="J40" s="168">
        <f>G40/F40</f>
        <v>1.3387736342042755</v>
      </c>
      <c r="K40" s="168">
        <f t="shared" si="0"/>
        <v>0.33994191797346196</v>
      </c>
      <c r="L40" s="169">
        <f t="shared" si="1"/>
        <v>-109.43763000000001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173">
        <v>905</v>
      </c>
      <c r="E41" s="173">
        <v>905</v>
      </c>
      <c r="F41" s="173">
        <v>685</v>
      </c>
      <c r="G41" s="172">
        <v>150.48486</v>
      </c>
      <c r="H41" s="172"/>
      <c r="I41" s="167">
        <f t="shared" si="2"/>
        <v>-534.51513999999997</v>
      </c>
      <c r="J41" s="168">
        <f>G41/F41</f>
        <v>0.21968592700729928</v>
      </c>
      <c r="K41" s="168">
        <f t="shared" si="0"/>
        <v>0.1662816132596685</v>
      </c>
      <c r="L41" s="169">
        <f t="shared" si="1"/>
        <v>-754.51513999999997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170">
        <v>0.2</v>
      </c>
      <c r="E42" s="170">
        <v>0.2</v>
      </c>
      <c r="F42" s="174">
        <f>F43</f>
        <v>0.2</v>
      </c>
      <c r="G42" s="174">
        <f>G43</f>
        <v>0.28211000000000003</v>
      </c>
      <c r="H42" s="172"/>
      <c r="I42" s="167">
        <f t="shared" si="2"/>
        <v>8.2110000000000016E-2</v>
      </c>
      <c r="J42" s="168">
        <f>G42/F42</f>
        <v>1.41055</v>
      </c>
      <c r="K42" s="168">
        <f t="shared" si="0"/>
        <v>1.41055</v>
      </c>
      <c r="L42" s="169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173"/>
      <c r="E43" s="173"/>
      <c r="F43" s="173">
        <v>0.2</v>
      </c>
      <c r="G43" s="172">
        <v>0.28211000000000003</v>
      </c>
      <c r="H43" s="172"/>
      <c r="I43" s="167">
        <f t="shared" si="2"/>
        <v>8.2110000000000016E-2</v>
      </c>
      <c r="J43" s="168">
        <f>G43/F43</f>
        <v>1.41055</v>
      </c>
      <c r="K43" s="168">
        <v>0</v>
      </c>
      <c r="L43" s="169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170"/>
      <c r="E44" s="171">
        <f>E45</f>
        <v>89700</v>
      </c>
      <c r="F44" s="171">
        <f>F45</f>
        <v>34300</v>
      </c>
      <c r="G44" s="171">
        <f>G45</f>
        <v>41645.841189999999</v>
      </c>
      <c r="H44" s="172"/>
      <c r="I44" s="167">
        <f t="shared" si="2"/>
        <v>7345.8411899999992</v>
      </c>
      <c r="J44" s="168">
        <v>0</v>
      </c>
      <c r="K44" s="168">
        <f t="shared" si="0"/>
        <v>0.46427916599777036</v>
      </c>
      <c r="L44" s="169">
        <f t="shared" si="1"/>
        <v>-48054.158810000001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173"/>
      <c r="E45" s="173">
        <v>89700</v>
      </c>
      <c r="F45" s="173">
        <v>34300</v>
      </c>
      <c r="G45" s="172">
        <v>41645.841189999999</v>
      </c>
      <c r="H45" s="172"/>
      <c r="I45" s="167">
        <f t="shared" si="2"/>
        <v>7345.8411899999992</v>
      </c>
      <c r="J45" s="168">
        <v>0</v>
      </c>
      <c r="K45" s="168">
        <f t="shared" si="0"/>
        <v>0.46427916599777036</v>
      </c>
      <c r="L45" s="169">
        <f t="shared" si="1"/>
        <v>-48054.158810000001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170"/>
      <c r="E46" s="170">
        <v>0</v>
      </c>
      <c r="F46" s="171">
        <f>F48</f>
        <v>0</v>
      </c>
      <c r="G46" s="171">
        <f>G48</f>
        <v>3.3585799999999999</v>
      </c>
      <c r="H46" s="172"/>
      <c r="I46" s="167">
        <f t="shared" si="2"/>
        <v>3.3585799999999999</v>
      </c>
      <c r="J46" s="168">
        <v>0</v>
      </c>
      <c r="K46" s="168">
        <v>0</v>
      </c>
      <c r="L46" s="169">
        <f t="shared" si="1"/>
        <v>3.3585799999999999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170"/>
      <c r="E47" s="170">
        <v>0</v>
      </c>
      <c r="F47" s="171">
        <f>F48</f>
        <v>0</v>
      </c>
      <c r="G47" s="171">
        <f>G48</f>
        <v>3.3585799999999999</v>
      </c>
      <c r="H47" s="172"/>
      <c r="I47" s="167">
        <f t="shared" si="2"/>
        <v>3.3585799999999999</v>
      </c>
      <c r="J47" s="168">
        <v>0</v>
      </c>
      <c r="K47" s="168">
        <v>0</v>
      </c>
      <c r="L47" s="169">
        <f t="shared" si="1"/>
        <v>3.3585799999999999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173">
        <v>0</v>
      </c>
      <c r="E48" s="173">
        <v>0</v>
      </c>
      <c r="F48" s="173">
        <v>0</v>
      </c>
      <c r="G48" s="172">
        <v>3.3585799999999999</v>
      </c>
      <c r="H48" s="172"/>
      <c r="I48" s="167">
        <f t="shared" si="2"/>
        <v>3.3585799999999999</v>
      </c>
      <c r="J48" s="168">
        <v>0</v>
      </c>
      <c r="K48" s="168">
        <v>0</v>
      </c>
      <c r="L48" s="169">
        <f t="shared" si="1"/>
        <v>3.3585799999999999</v>
      </c>
      <c r="M48" s="25"/>
      <c r="N48" s="12"/>
      <c r="O48" s="12"/>
    </row>
    <row r="49" spans="1:15" s="13" customFormat="1" ht="64.5" x14ac:dyDescent="0.45">
      <c r="A49" s="38"/>
      <c r="B49" s="39">
        <v>18000000</v>
      </c>
      <c r="C49" s="40" t="s">
        <v>56</v>
      </c>
      <c r="D49" s="170">
        <v>365617</v>
      </c>
      <c r="E49" s="171">
        <f>E50+E62+E64+E67+E77</f>
        <v>506933.89999999991</v>
      </c>
      <c r="F49" s="171">
        <f>F50+F62+F64+F67+F77</f>
        <v>224469.6</v>
      </c>
      <c r="G49" s="171">
        <f>G50+G62+G64+G67+G77</f>
        <v>229844.67744100001</v>
      </c>
      <c r="H49" s="172"/>
      <c r="I49" s="167">
        <f t="shared" si="2"/>
        <v>5375.0774410000013</v>
      </c>
      <c r="J49" s="168">
        <f>G49/F49</f>
        <v>1.0239456810231764</v>
      </c>
      <c r="K49" s="168">
        <f t="shared" si="0"/>
        <v>0.45340167118632241</v>
      </c>
      <c r="L49" s="169">
        <f t="shared" si="1"/>
        <v>-277089.2225589999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173">
        <v>360978.2</v>
      </c>
      <c r="E50" s="172">
        <f>E51+E52+E53+E54+E55+E56+E57+E58+E60+E59</f>
        <v>380750.19999999995</v>
      </c>
      <c r="F50" s="172">
        <f>F51+F52+F53+F54+F55+F56+F57+F58+F60+F59</f>
        <v>154410</v>
      </c>
      <c r="G50" s="172">
        <f>G51+G52+G53+G54+G55+G56+G57+G58+G60+G59</f>
        <v>147118.35020099999</v>
      </c>
      <c r="H50" s="172"/>
      <c r="I50" s="167">
        <f t="shared" si="2"/>
        <v>-7291.6497990000062</v>
      </c>
      <c r="J50" s="168">
        <f>G50/F50</f>
        <v>0.9527773473285408</v>
      </c>
      <c r="K50" s="168">
        <f t="shared" si="0"/>
        <v>0.38639073650125466</v>
      </c>
      <c r="L50" s="169">
        <f t="shared" si="1"/>
        <v>-233631.84979899996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173">
        <v>0</v>
      </c>
      <c r="E51" s="173">
        <v>1951</v>
      </c>
      <c r="F51" s="173">
        <v>1951</v>
      </c>
      <c r="G51" s="172">
        <v>921.75485000000003</v>
      </c>
      <c r="H51" s="172"/>
      <c r="I51" s="167">
        <f t="shared" si="2"/>
        <v>-1029.24515</v>
      </c>
      <c r="J51" s="168">
        <v>0</v>
      </c>
      <c r="K51" s="168">
        <f t="shared" si="0"/>
        <v>0.47245251153254741</v>
      </c>
      <c r="L51" s="169">
        <f t="shared" si="1"/>
        <v>-1029.24515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173">
        <v>0</v>
      </c>
      <c r="E52" s="173">
        <v>1315</v>
      </c>
      <c r="F52" s="173">
        <v>0</v>
      </c>
      <c r="G52" s="172">
        <v>-0.80208999999999997</v>
      </c>
      <c r="H52" s="172"/>
      <c r="I52" s="167">
        <f t="shared" si="2"/>
        <v>-0.80208999999999997</v>
      </c>
      <c r="J52" s="168">
        <v>0</v>
      </c>
      <c r="K52" s="168">
        <f t="shared" si="0"/>
        <v>-6.0995437262357415E-4</v>
      </c>
      <c r="L52" s="169">
        <f t="shared" si="1"/>
        <v>-1315.8020899999999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173">
        <v>0</v>
      </c>
      <c r="E53" s="173">
        <v>0</v>
      </c>
      <c r="F53" s="173">
        <v>0</v>
      </c>
      <c r="G53" s="172">
        <v>12.123941</v>
      </c>
      <c r="H53" s="172"/>
      <c r="I53" s="167">
        <f t="shared" si="2"/>
        <v>12.123941</v>
      </c>
      <c r="J53" s="168">
        <v>0</v>
      </c>
      <c r="K53" s="168">
        <v>0</v>
      </c>
      <c r="L53" s="169">
        <f t="shared" si="1"/>
        <v>12.123941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173">
        <v>0</v>
      </c>
      <c r="E54" s="173">
        <v>8105</v>
      </c>
      <c r="F54" s="173">
        <v>8105</v>
      </c>
      <c r="G54" s="172">
        <v>7243.3149800000001</v>
      </c>
      <c r="H54" s="172"/>
      <c r="I54" s="167">
        <f t="shared" si="2"/>
        <v>-861.68501999999989</v>
      </c>
      <c r="J54" s="168">
        <v>0</v>
      </c>
      <c r="K54" s="168">
        <f t="shared" si="0"/>
        <v>0.89368476002467612</v>
      </c>
      <c r="L54" s="169">
        <f t="shared" si="1"/>
        <v>-861.68501999999989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173">
        <v>115874</v>
      </c>
      <c r="E55" s="173">
        <v>115874</v>
      </c>
      <c r="F55" s="173">
        <v>42022</v>
      </c>
      <c r="G55" s="172">
        <v>40338.536379999998</v>
      </c>
      <c r="H55" s="172"/>
      <c r="I55" s="167">
        <f t="shared" si="2"/>
        <v>-1683.4636200000023</v>
      </c>
      <c r="J55" s="168">
        <f>G55/F55</f>
        <v>0.95993851744324399</v>
      </c>
      <c r="K55" s="168">
        <f t="shared" si="0"/>
        <v>0.34812413811553927</v>
      </c>
      <c r="L55" s="169">
        <f t="shared" si="1"/>
        <v>-75535.463619999995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173">
        <v>234996.8</v>
      </c>
      <c r="E56" s="173">
        <v>234996.8</v>
      </c>
      <c r="F56" s="173">
        <v>97550</v>
      </c>
      <c r="G56" s="172">
        <v>95085.342220000006</v>
      </c>
      <c r="H56" s="172"/>
      <c r="I56" s="167">
        <f t="shared" si="2"/>
        <v>-2464.6577799999941</v>
      </c>
      <c r="J56" s="168">
        <f>G56/F56</f>
        <v>0.97473441537672989</v>
      </c>
      <c r="K56" s="168">
        <f t="shared" si="0"/>
        <v>0.40462398730535909</v>
      </c>
      <c r="L56" s="169">
        <f t="shared" si="1"/>
        <v>-139911.45778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173">
        <v>6136.6</v>
      </c>
      <c r="E57" s="173">
        <v>6136.6</v>
      </c>
      <c r="F57" s="173">
        <v>1295</v>
      </c>
      <c r="G57" s="172">
        <v>1134.6574700000001</v>
      </c>
      <c r="H57" s="172"/>
      <c r="I57" s="167">
        <f t="shared" si="2"/>
        <v>-160.3425299999999</v>
      </c>
      <c r="J57" s="168">
        <f>G57/F57</f>
        <v>0.8761833745173746</v>
      </c>
      <c r="K57" s="168">
        <f t="shared" si="0"/>
        <v>0.18490002118436921</v>
      </c>
      <c r="L57" s="169">
        <f t="shared" si="1"/>
        <v>-5001.9425300000003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173">
        <v>3970.8</v>
      </c>
      <c r="E58" s="173">
        <v>3970.8</v>
      </c>
      <c r="F58" s="173">
        <v>733</v>
      </c>
      <c r="G58" s="172">
        <v>620.93727000000001</v>
      </c>
      <c r="H58" s="172"/>
      <c r="I58" s="167">
        <f t="shared" si="2"/>
        <v>-112.06272999999999</v>
      </c>
      <c r="J58" s="168">
        <f>G58/F58</f>
        <v>0.84711769440654849</v>
      </c>
      <c r="K58" s="168">
        <f t="shared" si="0"/>
        <v>0.156375861287398</v>
      </c>
      <c r="L58" s="169">
        <f t="shared" si="1"/>
        <v>-3349.8627300000003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173">
        <v>0</v>
      </c>
      <c r="E59" s="173">
        <v>5647</v>
      </c>
      <c r="F59" s="173">
        <v>0</v>
      </c>
      <c r="G59" s="172">
        <v>0</v>
      </c>
      <c r="H59" s="172"/>
      <c r="I59" s="167">
        <f t="shared" si="2"/>
        <v>0</v>
      </c>
      <c r="J59" s="168">
        <v>0</v>
      </c>
      <c r="K59" s="168">
        <f t="shared" si="0"/>
        <v>0</v>
      </c>
      <c r="L59" s="169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173">
        <v>0</v>
      </c>
      <c r="E60" s="173">
        <v>2754</v>
      </c>
      <c r="F60" s="173">
        <v>2754</v>
      </c>
      <c r="G60" s="172">
        <v>1762.4851799999999</v>
      </c>
      <c r="H60" s="172"/>
      <c r="I60" s="167">
        <f t="shared" si="2"/>
        <v>-991.5148200000001</v>
      </c>
      <c r="J60" s="168">
        <v>0</v>
      </c>
      <c r="K60" s="168">
        <f t="shared" si="0"/>
        <v>0.63997283224400869</v>
      </c>
      <c r="L60" s="169">
        <f t="shared" si="1"/>
        <v>-991.5148200000001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71">
        <f t="shared" ref="D61:E61" si="3">D62+D63</f>
        <v>4098.6000000000004</v>
      </c>
      <c r="E61" s="171">
        <f t="shared" si="3"/>
        <v>4098.6000000000004</v>
      </c>
      <c r="F61" s="171">
        <f>F62+F63</f>
        <v>990</v>
      </c>
      <c r="G61" s="171">
        <f>G62</f>
        <v>655.67346999999995</v>
      </c>
      <c r="H61" s="171"/>
      <c r="I61" s="167">
        <f t="shared" si="2"/>
        <v>-334.32653000000005</v>
      </c>
      <c r="J61" s="168">
        <f>G61/F61</f>
        <v>0.66229643434343433</v>
      </c>
      <c r="K61" s="168">
        <f t="shared" si="0"/>
        <v>0.15997498414092615</v>
      </c>
      <c r="L61" s="169">
        <f t="shared" si="1"/>
        <v>-3442.9265300000006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173">
        <v>4098.6000000000004</v>
      </c>
      <c r="E62" s="173">
        <v>4098.6000000000004</v>
      </c>
      <c r="F62" s="173">
        <v>990</v>
      </c>
      <c r="G62" s="172">
        <v>655.67346999999995</v>
      </c>
      <c r="H62" s="172"/>
      <c r="I62" s="167">
        <f t="shared" si="2"/>
        <v>-334.32653000000005</v>
      </c>
      <c r="J62" s="168">
        <f>G62/F62</f>
        <v>0.66229643434343433</v>
      </c>
      <c r="K62" s="168">
        <f t="shared" si="0"/>
        <v>0.15997498414092615</v>
      </c>
      <c r="L62" s="169">
        <f t="shared" si="1"/>
        <v>-3442.9265300000006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173">
        <v>0</v>
      </c>
      <c r="E63" s="173">
        <v>0</v>
      </c>
      <c r="F63" s="173">
        <v>0</v>
      </c>
      <c r="G63" s="172">
        <v>0</v>
      </c>
      <c r="H63" s="172"/>
      <c r="I63" s="167">
        <f t="shared" si="2"/>
        <v>0</v>
      </c>
      <c r="J63" s="168"/>
      <c r="K63" s="168">
        <v>0</v>
      </c>
      <c r="L63" s="169">
        <f t="shared" si="1"/>
        <v>0</v>
      </c>
      <c r="M63" s="25"/>
      <c r="N63" s="12"/>
      <c r="O63" s="12"/>
    </row>
    <row r="64" spans="1:15" s="13" customFormat="1" ht="64.5" x14ac:dyDescent="0.45">
      <c r="A64" s="38"/>
      <c r="B64" s="30">
        <v>18030000</v>
      </c>
      <c r="C64" s="31" t="s">
        <v>68</v>
      </c>
      <c r="D64" s="170">
        <v>540.20000000000005</v>
      </c>
      <c r="E64" s="170">
        <v>540.20000000000005</v>
      </c>
      <c r="F64" s="171">
        <f>F65+F66</f>
        <v>131.20000000000002</v>
      </c>
      <c r="G64" s="171">
        <f>G65+G66</f>
        <v>286.51926000000003</v>
      </c>
      <c r="H64" s="172"/>
      <c r="I64" s="167">
        <f t="shared" si="2"/>
        <v>155.31926000000001</v>
      </c>
      <c r="J64" s="168">
        <f>G64/F64</f>
        <v>2.1838358231707318</v>
      </c>
      <c r="K64" s="168">
        <f t="shared" si="0"/>
        <v>0.53039477971121807</v>
      </c>
      <c r="L64" s="169">
        <f t="shared" si="1"/>
        <v>-253.68074000000001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173">
        <v>515.4</v>
      </c>
      <c r="E65" s="173">
        <v>515.4</v>
      </c>
      <c r="F65" s="173">
        <v>120.4</v>
      </c>
      <c r="G65" s="172">
        <v>249.56986000000001</v>
      </c>
      <c r="H65" s="172"/>
      <c r="I65" s="167">
        <f t="shared" si="2"/>
        <v>129.16986</v>
      </c>
      <c r="J65" s="168">
        <f>G65/F65</f>
        <v>2.0728393687707642</v>
      </c>
      <c r="K65" s="168">
        <f t="shared" si="0"/>
        <v>0.48422557237097402</v>
      </c>
      <c r="L65" s="169">
        <f t="shared" si="1"/>
        <v>-265.83013999999997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173">
        <v>24.8</v>
      </c>
      <c r="E66" s="173">
        <v>24.8</v>
      </c>
      <c r="F66" s="173">
        <v>10.8</v>
      </c>
      <c r="G66" s="172">
        <v>36.949399999999997</v>
      </c>
      <c r="H66" s="172"/>
      <c r="I66" s="167">
        <f t="shared" si="2"/>
        <v>26.149399999999996</v>
      </c>
      <c r="J66" s="168">
        <f>G66/F66</f>
        <v>3.4212407407407404</v>
      </c>
      <c r="K66" s="168">
        <f t="shared" si="0"/>
        <v>1.4898951612903224</v>
      </c>
      <c r="L66" s="169">
        <f t="shared" si="1"/>
        <v>12.149399999999996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170"/>
      <c r="E67" s="170"/>
      <c r="F67" s="171">
        <f>F68+F69+F70+F71+F72+F73+F74+F75+F76</f>
        <v>0</v>
      </c>
      <c r="G67" s="171">
        <f>G68+G69+G70+G71+G72+G73+G74+G75+G76</f>
        <v>-11.78144</v>
      </c>
      <c r="H67" s="172"/>
      <c r="I67" s="167">
        <f t="shared" si="2"/>
        <v>-11.78144</v>
      </c>
      <c r="J67" s="168">
        <v>0</v>
      </c>
      <c r="K67" s="168">
        <v>0</v>
      </c>
      <c r="L67" s="169">
        <f t="shared" si="1"/>
        <v>-11.78144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173"/>
      <c r="E68" s="173"/>
      <c r="F68" s="173">
        <v>0</v>
      </c>
      <c r="G68" s="176">
        <v>-2.62866</v>
      </c>
      <c r="H68" s="172"/>
      <c r="I68" s="167">
        <f t="shared" si="2"/>
        <v>-2.62866</v>
      </c>
      <c r="J68" s="168">
        <v>0</v>
      </c>
      <c r="K68" s="168">
        <v>0</v>
      </c>
      <c r="L68" s="169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173"/>
      <c r="E69" s="173"/>
      <c r="F69" s="173">
        <v>0</v>
      </c>
      <c r="G69" s="172">
        <v>1.14751</v>
      </c>
      <c r="H69" s="172"/>
      <c r="I69" s="167">
        <f t="shared" si="2"/>
        <v>1.14751</v>
      </c>
      <c r="J69" s="168">
        <v>0</v>
      </c>
      <c r="K69" s="168">
        <v>0</v>
      </c>
      <c r="L69" s="169">
        <f t="shared" si="1"/>
        <v>1.14751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173"/>
      <c r="E70" s="173"/>
      <c r="F70" s="173">
        <v>0</v>
      </c>
      <c r="G70" s="172">
        <v>0.48699999999999999</v>
      </c>
      <c r="H70" s="172"/>
      <c r="I70" s="167">
        <f t="shared" si="2"/>
        <v>0.48699999999999999</v>
      </c>
      <c r="J70" s="168">
        <v>0</v>
      </c>
      <c r="K70" s="168">
        <v>0</v>
      </c>
      <c r="L70" s="169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173"/>
      <c r="E71" s="173"/>
      <c r="F71" s="173">
        <v>0</v>
      </c>
      <c r="G71" s="172">
        <v>8.8174499999999991</v>
      </c>
      <c r="H71" s="172"/>
      <c r="I71" s="167">
        <f t="shared" si="2"/>
        <v>8.8174499999999991</v>
      </c>
      <c r="J71" s="168">
        <v>0</v>
      </c>
      <c r="K71" s="168">
        <v>0</v>
      </c>
      <c r="L71" s="169">
        <f t="shared" si="4"/>
        <v>8.8174499999999991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173"/>
      <c r="E72" s="173"/>
      <c r="F72" s="173">
        <v>0</v>
      </c>
      <c r="G72" s="172">
        <v>-10.11759</v>
      </c>
      <c r="H72" s="172"/>
      <c r="I72" s="167">
        <f t="shared" si="2"/>
        <v>-10.11759</v>
      </c>
      <c r="J72" s="168">
        <v>0</v>
      </c>
      <c r="K72" s="168">
        <v>0</v>
      </c>
      <c r="L72" s="169">
        <f t="shared" si="4"/>
        <v>-10.11759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173"/>
      <c r="E73" s="173"/>
      <c r="F73" s="173">
        <v>0</v>
      </c>
      <c r="G73" s="172">
        <v>-13.181979999999999</v>
      </c>
      <c r="H73" s="172"/>
      <c r="I73" s="167">
        <f t="shared" ref="I73:I120" si="5">G73-F73</f>
        <v>-13.181979999999999</v>
      </c>
      <c r="J73" s="168">
        <v>0</v>
      </c>
      <c r="K73" s="168">
        <v>0</v>
      </c>
      <c r="L73" s="169">
        <f t="shared" si="4"/>
        <v>-13.181979999999999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173"/>
      <c r="E74" s="173"/>
      <c r="F74" s="173">
        <v>0</v>
      </c>
      <c r="G74" s="172">
        <v>6.0999999999999999E-2</v>
      </c>
      <c r="H74" s="172"/>
      <c r="I74" s="167">
        <f t="shared" si="5"/>
        <v>6.0999999999999999E-2</v>
      </c>
      <c r="J74" s="168">
        <v>0</v>
      </c>
      <c r="K74" s="168">
        <v>0</v>
      </c>
      <c r="L74" s="169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173"/>
      <c r="E75" s="173"/>
      <c r="F75" s="173">
        <v>0</v>
      </c>
      <c r="G75" s="172">
        <v>3.6338300000000001</v>
      </c>
      <c r="H75" s="172"/>
      <c r="I75" s="167">
        <f t="shared" si="5"/>
        <v>3.6338300000000001</v>
      </c>
      <c r="J75" s="168">
        <v>0</v>
      </c>
      <c r="K75" s="168">
        <v>0</v>
      </c>
      <c r="L75" s="169">
        <f t="shared" si="4"/>
        <v>3.6338300000000001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173"/>
      <c r="E76" s="173"/>
      <c r="F76" s="173">
        <v>0</v>
      </c>
      <c r="G76" s="172">
        <v>0</v>
      </c>
      <c r="H76" s="172"/>
      <c r="I76" s="167">
        <f t="shared" si="5"/>
        <v>0</v>
      </c>
      <c r="J76" s="168">
        <v>0</v>
      </c>
      <c r="K76" s="168">
        <v>0</v>
      </c>
      <c r="L76" s="169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173"/>
      <c r="E77" s="171">
        <f>E79+E80+E78+E81</f>
        <v>121544.9</v>
      </c>
      <c r="F77" s="171">
        <f>F79+F80+F78+F81</f>
        <v>68938.399999999994</v>
      </c>
      <c r="G77" s="171">
        <f>G79+G80+G78+G81</f>
        <v>81795.91595000001</v>
      </c>
      <c r="H77" s="172"/>
      <c r="I77" s="167">
        <f t="shared" si="5"/>
        <v>12857.515950000015</v>
      </c>
      <c r="J77" s="168">
        <v>0</v>
      </c>
      <c r="K77" s="168">
        <f t="shared" ref="K77:K121" si="6">G77/E77</f>
        <v>0.67296872143545317</v>
      </c>
      <c r="L77" s="169">
        <f t="shared" si="4"/>
        <v>-39748.984049999985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173"/>
      <c r="E78" s="173">
        <v>0</v>
      </c>
      <c r="F78" s="173">
        <v>0</v>
      </c>
      <c r="G78" s="172">
        <v>8.5665499999999994</v>
      </c>
      <c r="H78" s="172"/>
      <c r="I78" s="167">
        <f t="shared" si="5"/>
        <v>8.5665499999999994</v>
      </c>
      <c r="J78" s="168">
        <v>0</v>
      </c>
      <c r="K78" s="168">
        <v>0</v>
      </c>
      <c r="L78" s="169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173"/>
      <c r="E79" s="173">
        <v>50570.9</v>
      </c>
      <c r="F79" s="173">
        <v>25258.400000000001</v>
      </c>
      <c r="G79" s="172">
        <v>30081.779640000001</v>
      </c>
      <c r="H79" s="172"/>
      <c r="I79" s="167">
        <f t="shared" si="5"/>
        <v>4823.3796399999992</v>
      </c>
      <c r="J79" s="168">
        <v>0</v>
      </c>
      <c r="K79" s="168">
        <f t="shared" si="6"/>
        <v>0.59484366780104758</v>
      </c>
      <c r="L79" s="169">
        <f t="shared" si="4"/>
        <v>-20489.120360000001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173"/>
      <c r="E80" s="173">
        <v>70974</v>
      </c>
      <c r="F80" s="173">
        <v>43680</v>
      </c>
      <c r="G80" s="172">
        <v>51700.868759999998</v>
      </c>
      <c r="H80" s="172"/>
      <c r="I80" s="167">
        <f t="shared" si="5"/>
        <v>8020.8687599999976</v>
      </c>
      <c r="J80" s="168">
        <v>0</v>
      </c>
      <c r="K80" s="168">
        <f t="shared" si="6"/>
        <v>0.72844800574858393</v>
      </c>
      <c r="L80" s="169">
        <f t="shared" si="4"/>
        <v>-19273.131240000002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173"/>
      <c r="E81" s="173">
        <v>0</v>
      </c>
      <c r="F81" s="173">
        <v>0</v>
      </c>
      <c r="G81" s="172">
        <v>4.7009999999999996</v>
      </c>
      <c r="H81" s="172"/>
      <c r="I81" s="167">
        <f t="shared" si="5"/>
        <v>4.7009999999999996</v>
      </c>
      <c r="J81" s="168">
        <v>0</v>
      </c>
      <c r="K81" s="168">
        <v>0</v>
      </c>
      <c r="L81" s="169">
        <f t="shared" si="4"/>
        <v>4.7009999999999996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170"/>
      <c r="E82" s="170">
        <f>E83</f>
        <v>702.4</v>
      </c>
      <c r="F82" s="171">
        <f>F83</f>
        <v>337.1</v>
      </c>
      <c r="G82" s="171">
        <f>G83</f>
        <v>480.22713999999996</v>
      </c>
      <c r="H82" s="172"/>
      <c r="I82" s="167">
        <f t="shared" si="5"/>
        <v>143.12713999999994</v>
      </c>
      <c r="J82" s="168">
        <v>0</v>
      </c>
      <c r="K82" s="168">
        <v>0</v>
      </c>
      <c r="L82" s="169">
        <f t="shared" si="4"/>
        <v>-222.17286000000001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170"/>
      <c r="E83" s="170">
        <f>E84+E85+E86</f>
        <v>702.4</v>
      </c>
      <c r="F83" s="171">
        <f>F84+F85+F86</f>
        <v>337.1</v>
      </c>
      <c r="G83" s="171">
        <f>G84+G85+G86</f>
        <v>480.22713999999996</v>
      </c>
      <c r="H83" s="172"/>
      <c r="I83" s="167">
        <f t="shared" si="5"/>
        <v>143.12713999999994</v>
      </c>
      <c r="J83" s="168">
        <v>0</v>
      </c>
      <c r="K83" s="168">
        <v>0</v>
      </c>
      <c r="L83" s="169">
        <f t="shared" si="4"/>
        <v>-222.17286000000001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173"/>
      <c r="E84" s="173">
        <v>342.1</v>
      </c>
      <c r="F84" s="173">
        <v>164.1</v>
      </c>
      <c r="G84" s="172">
        <f>183.83219-36.76649</f>
        <v>147.06569999999999</v>
      </c>
      <c r="H84" s="172"/>
      <c r="I84" s="167">
        <f t="shared" si="5"/>
        <v>-17.034300000000002</v>
      </c>
      <c r="J84" s="168">
        <v>0</v>
      </c>
      <c r="K84" s="168">
        <v>0</v>
      </c>
      <c r="L84" s="169">
        <f t="shared" si="4"/>
        <v>-195.03430000000003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173"/>
      <c r="E85" s="173">
        <v>243</v>
      </c>
      <c r="F85" s="173">
        <v>116.7</v>
      </c>
      <c r="G85" s="172">
        <f>300-0.06</f>
        <v>299.94</v>
      </c>
      <c r="H85" s="172"/>
      <c r="I85" s="167">
        <f t="shared" si="5"/>
        <v>183.24</v>
      </c>
      <c r="J85" s="168">
        <v>0</v>
      </c>
      <c r="K85" s="168">
        <v>0</v>
      </c>
      <c r="L85" s="169">
        <f t="shared" si="4"/>
        <v>56.94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173"/>
      <c r="E86" s="173">
        <v>117.3</v>
      </c>
      <c r="F86" s="173">
        <v>56.3</v>
      </c>
      <c r="G86" s="172">
        <f>41.52681-8.30537</f>
        <v>33.221440000000001</v>
      </c>
      <c r="H86" s="172"/>
      <c r="I86" s="167">
        <f t="shared" si="5"/>
        <v>-23.078559999999996</v>
      </c>
      <c r="J86" s="168">
        <v>0</v>
      </c>
      <c r="K86" s="168">
        <v>0</v>
      </c>
      <c r="L86" s="169">
        <f t="shared" si="4"/>
        <v>-84.078559999999996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170">
        <v>18149.8</v>
      </c>
      <c r="E87" s="170">
        <v>18149.8</v>
      </c>
      <c r="F87" s="171">
        <f>F88+F95+F112</f>
        <v>6923.5000000000009</v>
      </c>
      <c r="G87" s="171">
        <f>G88+G95+G112</f>
        <v>12948.247680000002</v>
      </c>
      <c r="H87" s="171"/>
      <c r="I87" s="167">
        <f t="shared" si="5"/>
        <v>6024.7476800000013</v>
      </c>
      <c r="J87" s="168">
        <f t="shared" ref="J87:J121" si="7">G87/F87</f>
        <v>1.8701881533906262</v>
      </c>
      <c r="K87" s="168">
        <f t="shared" si="6"/>
        <v>0.71340993729958468</v>
      </c>
      <c r="L87" s="169">
        <f t="shared" si="4"/>
        <v>-5201.5523199999971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173">
        <v>1906.3</v>
      </c>
      <c r="E88" s="173">
        <v>1906.3</v>
      </c>
      <c r="F88" s="171">
        <f>F89+F92</f>
        <v>615.6</v>
      </c>
      <c r="G88" s="171">
        <f>G89+G92</f>
        <v>1150.06998</v>
      </c>
      <c r="H88" s="172"/>
      <c r="I88" s="167">
        <f t="shared" si="5"/>
        <v>534.46997999999996</v>
      </c>
      <c r="J88" s="168">
        <f t="shared" si="7"/>
        <v>1.8682098440545809</v>
      </c>
      <c r="K88" s="168">
        <f t="shared" si="6"/>
        <v>0.60329957509311227</v>
      </c>
      <c r="L88" s="169">
        <f t="shared" si="4"/>
        <v>-756.23001999999997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173">
        <v>1277.3</v>
      </c>
      <c r="E89" s="173">
        <v>1277.3</v>
      </c>
      <c r="F89" s="172">
        <f>F91+F90</f>
        <v>371.6</v>
      </c>
      <c r="G89" s="172">
        <f>G91+G90</f>
        <v>992.07999999999993</v>
      </c>
      <c r="H89" s="172"/>
      <c r="I89" s="167">
        <f t="shared" si="5"/>
        <v>620.4799999999999</v>
      </c>
      <c r="J89" s="168">
        <f t="shared" si="7"/>
        <v>2.6697524219590956</v>
      </c>
      <c r="K89" s="168">
        <f t="shared" si="6"/>
        <v>0.77670085336256167</v>
      </c>
      <c r="L89" s="169">
        <f t="shared" si="4"/>
        <v>-285.22000000000003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173">
        <v>1277.3</v>
      </c>
      <c r="E90" s="173">
        <v>1277.3</v>
      </c>
      <c r="F90" s="173">
        <v>371.6</v>
      </c>
      <c r="G90" s="172">
        <v>812.68899999999996</v>
      </c>
      <c r="H90" s="172"/>
      <c r="I90" s="167">
        <f t="shared" si="5"/>
        <v>441.08899999999994</v>
      </c>
      <c r="J90" s="168">
        <f t="shared" si="7"/>
        <v>2.1869994617868675</v>
      </c>
      <c r="K90" s="168">
        <f t="shared" si="6"/>
        <v>0.63625538244734992</v>
      </c>
      <c r="L90" s="169">
        <f t="shared" si="4"/>
        <v>-464.61099999999999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173"/>
      <c r="E91" s="173"/>
      <c r="F91" s="173">
        <v>0</v>
      </c>
      <c r="G91" s="172">
        <v>179.39099999999999</v>
      </c>
      <c r="H91" s="172"/>
      <c r="I91" s="167">
        <f t="shared" si="5"/>
        <v>179.39099999999999</v>
      </c>
      <c r="J91" s="168">
        <v>0</v>
      </c>
      <c r="K91" s="168">
        <v>0</v>
      </c>
      <c r="L91" s="169">
        <f t="shared" si="4"/>
        <v>179.39099999999999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171">
        <f>D94+D93</f>
        <v>629</v>
      </c>
      <c r="E92" s="171">
        <f>E94+E93</f>
        <v>629</v>
      </c>
      <c r="F92" s="171">
        <f>F94+F93</f>
        <v>244</v>
      </c>
      <c r="G92" s="171">
        <f>G94+G93</f>
        <v>157.98998</v>
      </c>
      <c r="H92" s="172"/>
      <c r="I92" s="167">
        <f t="shared" si="5"/>
        <v>-86.010019999999997</v>
      </c>
      <c r="J92" s="168">
        <f t="shared" si="7"/>
        <v>0.64749991803278695</v>
      </c>
      <c r="K92" s="168">
        <f t="shared" si="6"/>
        <v>0.2511764387917329</v>
      </c>
      <c r="L92" s="169">
        <f t="shared" si="4"/>
        <v>-471.01002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173">
        <v>6.2</v>
      </c>
      <c r="E93" s="173">
        <v>6.2</v>
      </c>
      <c r="F93" s="172">
        <v>2</v>
      </c>
      <c r="G93" s="172">
        <v>0.48699999999999999</v>
      </c>
      <c r="H93" s="172"/>
      <c r="I93" s="167">
        <f t="shared" si="5"/>
        <v>-1.5129999999999999</v>
      </c>
      <c r="J93" s="168">
        <f t="shared" si="7"/>
        <v>0.24349999999999999</v>
      </c>
      <c r="K93" s="168">
        <f t="shared" si="6"/>
        <v>7.8548387096774183E-2</v>
      </c>
      <c r="L93" s="169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173">
        <v>622.79999999999995</v>
      </c>
      <c r="E94" s="173">
        <v>622.79999999999995</v>
      </c>
      <c r="F94" s="173">
        <v>242</v>
      </c>
      <c r="G94" s="172">
        <f>140.50298+17</f>
        <v>157.50298000000001</v>
      </c>
      <c r="H94" s="172"/>
      <c r="I94" s="167">
        <f t="shared" si="5"/>
        <v>-84.497019999999992</v>
      </c>
      <c r="J94" s="168">
        <f t="shared" si="7"/>
        <v>0.65083876033057853</v>
      </c>
      <c r="K94" s="168">
        <f t="shared" si="6"/>
        <v>0.25289495825305075</v>
      </c>
      <c r="L94" s="169">
        <f t="shared" si="4"/>
        <v>-465.29701999999997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170">
        <v>16081.2</v>
      </c>
      <c r="E95" s="170">
        <v>16081.2</v>
      </c>
      <c r="F95" s="171">
        <f>F96+F105+F107</f>
        <v>6250.3</v>
      </c>
      <c r="G95" s="171">
        <f>G96+G105+G107</f>
        <v>11733.270890000002</v>
      </c>
      <c r="H95" s="172"/>
      <c r="I95" s="167">
        <f t="shared" si="5"/>
        <v>5482.9708900000014</v>
      </c>
      <c r="J95" s="168">
        <f t="shared" si="7"/>
        <v>1.8772332352047103</v>
      </c>
      <c r="K95" s="168">
        <f t="shared" si="6"/>
        <v>0.72962657575305334</v>
      </c>
      <c r="L95" s="169">
        <f t="shared" si="4"/>
        <v>-4347.9291099999991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177">
        <f>D99+D100+D101+D102+D103+D104+D98+D97</f>
        <v>10982.6</v>
      </c>
      <c r="E96" s="177">
        <f>E99+E100+E101+E102+E103+E104+E98+E97</f>
        <v>10982.6</v>
      </c>
      <c r="F96" s="177">
        <f>F99+F100+F101+F102+F103+F104+F98+F97</f>
        <v>4518.2</v>
      </c>
      <c r="G96" s="177">
        <f>G99+G100+G101+G102+G103+G104+G98+G97</f>
        <v>8380.2695400000011</v>
      </c>
      <c r="H96" s="172"/>
      <c r="I96" s="167">
        <f t="shared" si="5"/>
        <v>3862.0695400000013</v>
      </c>
      <c r="J96" s="168">
        <f t="shared" si="7"/>
        <v>1.8547805630560845</v>
      </c>
      <c r="K96" s="168">
        <f t="shared" si="6"/>
        <v>0.76304969132992195</v>
      </c>
      <c r="L96" s="169">
        <f t="shared" si="4"/>
        <v>-2602.3304599999992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177">
        <v>5</v>
      </c>
      <c r="E97" s="177">
        <v>5</v>
      </c>
      <c r="F97" s="177">
        <v>0</v>
      </c>
      <c r="G97" s="177">
        <v>0</v>
      </c>
      <c r="H97" s="172"/>
      <c r="I97" s="167">
        <f t="shared" si="5"/>
        <v>0</v>
      </c>
      <c r="J97" s="168">
        <v>0</v>
      </c>
      <c r="K97" s="168">
        <f t="shared" si="6"/>
        <v>0</v>
      </c>
      <c r="L97" s="169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173">
        <v>2</v>
      </c>
      <c r="E98" s="173">
        <v>2</v>
      </c>
      <c r="F98" s="173">
        <v>1</v>
      </c>
      <c r="G98" s="172">
        <v>0.78</v>
      </c>
      <c r="H98" s="172"/>
      <c r="I98" s="167">
        <f t="shared" si="5"/>
        <v>-0.21999999999999997</v>
      </c>
      <c r="J98" s="168">
        <f t="shared" si="7"/>
        <v>0.78</v>
      </c>
      <c r="K98" s="168">
        <f t="shared" si="6"/>
        <v>0.39</v>
      </c>
      <c r="L98" s="169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173">
        <v>3.5</v>
      </c>
      <c r="E99" s="173">
        <v>3.5</v>
      </c>
      <c r="F99" s="173">
        <v>1.7</v>
      </c>
      <c r="G99" s="172">
        <v>3.9</v>
      </c>
      <c r="H99" s="172"/>
      <c r="I99" s="167">
        <f t="shared" si="5"/>
        <v>2.2000000000000002</v>
      </c>
      <c r="J99" s="168">
        <f t="shared" si="7"/>
        <v>2.2941176470588234</v>
      </c>
      <c r="K99" s="168">
        <f t="shared" si="6"/>
        <v>1.1142857142857143</v>
      </c>
      <c r="L99" s="169">
        <f t="shared" si="4"/>
        <v>0.39999999999999991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173">
        <v>120</v>
      </c>
      <c r="E100" s="173">
        <v>120</v>
      </c>
      <c r="F100" s="173">
        <v>62</v>
      </c>
      <c r="G100" s="172">
        <v>23.100999999999999</v>
      </c>
      <c r="H100" s="172"/>
      <c r="I100" s="167">
        <f t="shared" si="5"/>
        <v>-38.899000000000001</v>
      </c>
      <c r="J100" s="168">
        <f t="shared" si="7"/>
        <v>0.37259677419354836</v>
      </c>
      <c r="K100" s="168">
        <f t="shared" si="6"/>
        <v>0.19250833333333334</v>
      </c>
      <c r="L100" s="169">
        <f t="shared" si="4"/>
        <v>-96.899000000000001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173">
        <v>2000</v>
      </c>
      <c r="E101" s="173">
        <v>2000</v>
      </c>
      <c r="F101" s="173">
        <v>1000</v>
      </c>
      <c r="G101" s="172">
        <v>1014.355</v>
      </c>
      <c r="H101" s="172"/>
      <c r="I101" s="167">
        <f t="shared" si="5"/>
        <v>14.355000000000018</v>
      </c>
      <c r="J101" s="168">
        <f t="shared" si="7"/>
        <v>1.0143550000000001</v>
      </c>
      <c r="K101" s="168">
        <f t="shared" si="6"/>
        <v>0.50717750000000006</v>
      </c>
      <c r="L101" s="169">
        <f t="shared" si="4"/>
        <v>-985.64499999999998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173">
        <v>7878.1</v>
      </c>
      <c r="E102" s="173">
        <v>7878.1</v>
      </c>
      <c r="F102" s="173">
        <v>3090</v>
      </c>
      <c r="G102" s="172">
        <v>3198.6635500000002</v>
      </c>
      <c r="H102" s="172"/>
      <c r="I102" s="167">
        <f t="shared" si="5"/>
        <v>108.66355000000021</v>
      </c>
      <c r="J102" s="168">
        <f t="shared" si="7"/>
        <v>1.0351661974110034</v>
      </c>
      <c r="K102" s="168">
        <f t="shared" si="6"/>
        <v>0.40601966844797605</v>
      </c>
      <c r="L102" s="169">
        <f t="shared" si="4"/>
        <v>-4679.4364500000001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173">
        <v>974</v>
      </c>
      <c r="E103" s="173">
        <v>974</v>
      </c>
      <c r="F103" s="173">
        <v>363.5</v>
      </c>
      <c r="G103" s="172">
        <v>341.50862999999998</v>
      </c>
      <c r="H103" s="172"/>
      <c r="I103" s="167">
        <f t="shared" si="5"/>
        <v>-21.991370000000018</v>
      </c>
      <c r="J103" s="168">
        <f t="shared" si="7"/>
        <v>0.93950104539202195</v>
      </c>
      <c r="K103" s="168">
        <f t="shared" si="6"/>
        <v>0.35062487679671456</v>
      </c>
      <c r="L103" s="169">
        <f t="shared" si="4"/>
        <v>-632.49136999999996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173"/>
      <c r="E104" s="173">
        <v>0</v>
      </c>
      <c r="F104" s="173">
        <v>0</v>
      </c>
      <c r="G104" s="172">
        <v>3797.9613599999998</v>
      </c>
      <c r="H104" s="172"/>
      <c r="I104" s="167">
        <f t="shared" si="5"/>
        <v>3797.9613599999998</v>
      </c>
      <c r="J104" s="168">
        <v>0</v>
      </c>
      <c r="K104" s="168">
        <v>0</v>
      </c>
      <c r="L104" s="169">
        <f t="shared" si="4"/>
        <v>3797.9613599999998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170">
        <v>4496.8</v>
      </c>
      <c r="E105" s="170">
        <v>4496.8</v>
      </c>
      <c r="F105" s="174">
        <f>F106</f>
        <v>1580</v>
      </c>
      <c r="G105" s="174">
        <f>G106</f>
        <v>2055.9178200000001</v>
      </c>
      <c r="H105" s="172"/>
      <c r="I105" s="167">
        <f t="shared" si="5"/>
        <v>475.91782000000012</v>
      </c>
      <c r="J105" s="168">
        <f t="shared" si="7"/>
        <v>1.3012138101265824</v>
      </c>
      <c r="K105" s="168">
        <f t="shared" si="6"/>
        <v>0.45719574363992171</v>
      </c>
      <c r="L105" s="169">
        <f t="shared" si="4"/>
        <v>-2440.8821800000001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173">
        <v>4496.8</v>
      </c>
      <c r="E106" s="173">
        <v>4496.8</v>
      </c>
      <c r="F106" s="173">
        <v>1580</v>
      </c>
      <c r="G106" s="172">
        <f>251.49971+1804.41811</f>
        <v>2055.9178200000001</v>
      </c>
      <c r="H106" s="172"/>
      <c r="I106" s="167">
        <f t="shared" si="5"/>
        <v>475.91782000000012</v>
      </c>
      <c r="J106" s="168">
        <f t="shared" si="7"/>
        <v>1.3012138101265824</v>
      </c>
      <c r="K106" s="168">
        <f t="shared" si="6"/>
        <v>0.45719574363992171</v>
      </c>
      <c r="L106" s="169">
        <f t="shared" si="4"/>
        <v>-2440.8821800000001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175">
        <v>601.79999999999995</v>
      </c>
      <c r="E107" s="175">
        <v>601.79999999999995</v>
      </c>
      <c r="F107" s="174">
        <f>F108+F109+F110+F111</f>
        <v>152.1</v>
      </c>
      <c r="G107" s="174">
        <f>G108+G109+G110+G111</f>
        <v>1297.0835299999999</v>
      </c>
      <c r="H107" s="172"/>
      <c r="I107" s="167">
        <f t="shared" si="5"/>
        <v>1144.98353</v>
      </c>
      <c r="J107" s="168">
        <f t="shared" si="7"/>
        <v>8.5278338593030902</v>
      </c>
      <c r="K107" s="168">
        <f t="shared" si="6"/>
        <v>2.1553398637421068</v>
      </c>
      <c r="L107" s="169">
        <f t="shared" si="4"/>
        <v>695.28352999999993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173">
        <v>549</v>
      </c>
      <c r="E108" s="173">
        <v>549</v>
      </c>
      <c r="F108" s="173">
        <v>132.5</v>
      </c>
      <c r="G108" s="172">
        <v>146.37880999999999</v>
      </c>
      <c r="H108" s="172"/>
      <c r="I108" s="167">
        <f t="shared" si="5"/>
        <v>13.878809999999987</v>
      </c>
      <c r="J108" s="168">
        <f t="shared" si="7"/>
        <v>1.1047457358490564</v>
      </c>
      <c r="K108" s="168">
        <f t="shared" si="6"/>
        <v>0.26662806921675769</v>
      </c>
      <c r="L108" s="169">
        <f t="shared" si="4"/>
        <v>-402.62119000000001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173">
        <v>0</v>
      </c>
      <c r="E109" s="173">
        <v>0</v>
      </c>
      <c r="F109" s="173">
        <v>0</v>
      </c>
      <c r="G109" s="172">
        <v>258.29658000000001</v>
      </c>
      <c r="H109" s="172"/>
      <c r="I109" s="167">
        <f t="shared" si="5"/>
        <v>258.29658000000001</v>
      </c>
      <c r="J109" s="168">
        <v>0</v>
      </c>
      <c r="K109" s="168">
        <v>0</v>
      </c>
      <c r="L109" s="169">
        <f t="shared" si="4"/>
        <v>258.29658000000001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173">
        <v>0</v>
      </c>
      <c r="E110" s="173">
        <v>0</v>
      </c>
      <c r="F110" s="173">
        <v>0</v>
      </c>
      <c r="G110" s="172">
        <v>18.036269999999998</v>
      </c>
      <c r="H110" s="172"/>
      <c r="I110" s="167">
        <f t="shared" si="5"/>
        <v>18.036269999999998</v>
      </c>
      <c r="J110" s="168">
        <v>0</v>
      </c>
      <c r="K110" s="168">
        <v>0</v>
      </c>
      <c r="L110" s="169">
        <f t="shared" si="4"/>
        <v>18.036269999999998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173">
        <v>52.8</v>
      </c>
      <c r="E111" s="173">
        <v>52.8</v>
      </c>
      <c r="F111" s="173">
        <v>19.600000000000001</v>
      </c>
      <c r="G111" s="172">
        <v>874.37186999999994</v>
      </c>
      <c r="H111" s="172"/>
      <c r="I111" s="167">
        <f t="shared" si="5"/>
        <v>854.77186999999992</v>
      </c>
      <c r="J111" s="168">
        <f t="shared" si="7"/>
        <v>44.610809693877542</v>
      </c>
      <c r="K111" s="168">
        <f t="shared" si="6"/>
        <v>16.560073295454544</v>
      </c>
      <c r="L111" s="169">
        <f t="shared" si="4"/>
        <v>821.57186999999999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175">
        <v>162.30000000000001</v>
      </c>
      <c r="E112" s="175">
        <v>162.30000000000001</v>
      </c>
      <c r="F112" s="174">
        <f>F114+F113</f>
        <v>57.6</v>
      </c>
      <c r="G112" s="174">
        <f>G114+G113</f>
        <v>64.906809999999993</v>
      </c>
      <c r="H112" s="177"/>
      <c r="I112" s="167">
        <f t="shared" si="5"/>
        <v>7.3068099999999916</v>
      </c>
      <c r="J112" s="168">
        <f t="shared" si="7"/>
        <v>1.1268543402777775</v>
      </c>
      <c r="K112" s="168">
        <f t="shared" si="6"/>
        <v>0.39991873074553291</v>
      </c>
      <c r="L112" s="169">
        <f t="shared" si="4"/>
        <v>-97.393190000000018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173">
        <v>20</v>
      </c>
      <c r="E113" s="173">
        <v>20</v>
      </c>
      <c r="F113" s="173">
        <v>0</v>
      </c>
      <c r="G113" s="172">
        <v>0</v>
      </c>
      <c r="H113" s="172"/>
      <c r="I113" s="167">
        <f t="shared" si="5"/>
        <v>0</v>
      </c>
      <c r="J113" s="168">
        <v>0</v>
      </c>
      <c r="K113" s="168">
        <f t="shared" si="6"/>
        <v>0</v>
      </c>
      <c r="L113" s="169">
        <f t="shared" si="4"/>
        <v>-20</v>
      </c>
      <c r="M113" s="25"/>
      <c r="N113" s="12"/>
      <c r="O113" s="12"/>
    </row>
    <row r="114" spans="1:15" s="13" customFormat="1" ht="64.5" x14ac:dyDescent="0.45">
      <c r="A114" s="38"/>
      <c r="B114" s="35">
        <v>24060000</v>
      </c>
      <c r="C114" s="45" t="s">
        <v>118</v>
      </c>
      <c r="D114" s="173">
        <v>142.30000000000001</v>
      </c>
      <c r="E114" s="173">
        <v>142.30000000000001</v>
      </c>
      <c r="F114" s="172">
        <f>F115</f>
        <v>57.6</v>
      </c>
      <c r="G114" s="172">
        <f>G115</f>
        <v>64.906809999999993</v>
      </c>
      <c r="H114" s="172"/>
      <c r="I114" s="167">
        <f t="shared" si="5"/>
        <v>7.3068099999999916</v>
      </c>
      <c r="J114" s="168">
        <f t="shared" si="7"/>
        <v>1.1268543402777775</v>
      </c>
      <c r="K114" s="168">
        <f t="shared" si="6"/>
        <v>0.45612656359803222</v>
      </c>
      <c r="L114" s="169">
        <f t="shared" si="4"/>
        <v>-77.393190000000018</v>
      </c>
      <c r="M114" s="25"/>
      <c r="N114" s="12"/>
      <c r="O114" s="12"/>
    </row>
    <row r="115" spans="1:15" s="13" customFormat="1" ht="64.5" x14ac:dyDescent="0.45">
      <c r="A115" s="38"/>
      <c r="B115" s="35">
        <v>24060300</v>
      </c>
      <c r="C115" s="45" t="s">
        <v>119</v>
      </c>
      <c r="D115" s="178">
        <v>142.30000000000001</v>
      </c>
      <c r="E115" s="178">
        <v>142.30000000000001</v>
      </c>
      <c r="F115" s="178">
        <v>57.6</v>
      </c>
      <c r="G115" s="179">
        <v>64.906809999999993</v>
      </c>
      <c r="H115" s="172"/>
      <c r="I115" s="167">
        <f t="shared" si="5"/>
        <v>7.3068099999999916</v>
      </c>
      <c r="J115" s="168">
        <f t="shared" si="7"/>
        <v>1.1268543402777775</v>
      </c>
      <c r="K115" s="168">
        <f t="shared" si="6"/>
        <v>0.45612656359803222</v>
      </c>
      <c r="L115" s="169">
        <f t="shared" si="4"/>
        <v>-77.393190000000018</v>
      </c>
      <c r="M115" s="25"/>
      <c r="N115" s="12"/>
      <c r="O115" s="12"/>
    </row>
    <row r="116" spans="1:15" s="13" customFormat="1" ht="64.5" x14ac:dyDescent="0.45">
      <c r="A116" s="38"/>
      <c r="B116" s="39">
        <v>30000000</v>
      </c>
      <c r="C116" s="49" t="s">
        <v>120</v>
      </c>
      <c r="D116" s="170">
        <v>48.4</v>
      </c>
      <c r="E116" s="170">
        <v>48.4</v>
      </c>
      <c r="F116" s="171">
        <f>F117</f>
        <v>23</v>
      </c>
      <c r="G116" s="171">
        <f>G117</f>
        <v>13.117800000000001</v>
      </c>
      <c r="H116" s="180"/>
      <c r="I116" s="167">
        <f t="shared" si="5"/>
        <v>-9.8821999999999992</v>
      </c>
      <c r="J116" s="168">
        <f t="shared" si="7"/>
        <v>0.57033913043478268</v>
      </c>
      <c r="K116" s="168">
        <f t="shared" si="6"/>
        <v>0.27102892561983472</v>
      </c>
      <c r="L116" s="169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181">
        <v>48.4</v>
      </c>
      <c r="E117" s="181">
        <v>48.4</v>
      </c>
      <c r="F117" s="182">
        <f>F118</f>
        <v>23</v>
      </c>
      <c r="G117" s="182">
        <f>G118</f>
        <v>13.117800000000001</v>
      </c>
      <c r="H117" s="172"/>
      <c r="I117" s="167">
        <f t="shared" si="5"/>
        <v>-9.8821999999999992</v>
      </c>
      <c r="J117" s="168">
        <f t="shared" si="7"/>
        <v>0.57033913043478268</v>
      </c>
      <c r="K117" s="168">
        <f t="shared" si="6"/>
        <v>0.27102892561983472</v>
      </c>
      <c r="L117" s="169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183">
        <v>48.4</v>
      </c>
      <c r="E118" s="183">
        <v>48.4</v>
      </c>
      <c r="F118" s="183">
        <v>23</v>
      </c>
      <c r="G118" s="184">
        <v>13.117800000000001</v>
      </c>
      <c r="H118" s="184"/>
      <c r="I118" s="167">
        <f t="shared" si="5"/>
        <v>-9.8821999999999992</v>
      </c>
      <c r="J118" s="168">
        <f t="shared" si="7"/>
        <v>0.57033913043478268</v>
      </c>
      <c r="K118" s="168">
        <f t="shared" si="6"/>
        <v>0.27102892561983472</v>
      </c>
      <c r="L118" s="169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182"/>
      <c r="E119" s="182"/>
      <c r="F119" s="182"/>
      <c r="G119" s="182"/>
      <c r="H119" s="182"/>
      <c r="I119" s="167">
        <f t="shared" si="5"/>
        <v>0</v>
      </c>
      <c r="J119" s="168" t="e">
        <f t="shared" si="7"/>
        <v>#DIV/0!</v>
      </c>
      <c r="K119" s="168" t="e">
        <f t="shared" si="6"/>
        <v>#DIV/0!</v>
      </c>
      <c r="L119" s="169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79"/>
      <c r="E120" s="179"/>
      <c r="F120" s="179"/>
      <c r="G120" s="185"/>
      <c r="H120" s="185"/>
      <c r="I120" s="186">
        <f t="shared" si="5"/>
        <v>0</v>
      </c>
      <c r="J120" s="187" t="e">
        <f t="shared" si="7"/>
        <v>#DIV/0!</v>
      </c>
      <c r="K120" s="187" t="e">
        <f t="shared" si="6"/>
        <v>#DIV/0!</v>
      </c>
      <c r="L120" s="188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189">
        <v>1096783</v>
      </c>
      <c r="E121" s="190">
        <f>E5+E87+E116</f>
        <v>1393427.7999999998</v>
      </c>
      <c r="F121" s="190">
        <f>F5+F87+F116</f>
        <v>631129.5</v>
      </c>
      <c r="G121" s="190">
        <f>G5+G87+G116</f>
        <v>611817.64576099999</v>
      </c>
      <c r="H121" s="191"/>
      <c r="I121" s="192">
        <f>G121-F121</f>
        <v>-19311.854239000008</v>
      </c>
      <c r="J121" s="193">
        <f t="shared" si="7"/>
        <v>0.96940112252873611</v>
      </c>
      <c r="K121" s="193">
        <f t="shared" si="6"/>
        <v>0.43907380472888519</v>
      </c>
      <c r="L121" s="194">
        <f>G121-E121</f>
        <v>-781610.15423899982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zoomScale="30" zoomScaleNormal="50" zoomScaleSheetLayoutView="30" workbookViewId="0">
      <selection activeCell="D5" sqref="D5:L121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">
      <c r="A1" s="1"/>
      <c r="B1" s="2"/>
      <c r="C1" s="212" t="s">
        <v>143</v>
      </c>
      <c r="D1" s="212"/>
      <c r="E1" s="212"/>
      <c r="F1" s="212"/>
      <c r="G1" s="212"/>
      <c r="H1" s="212"/>
      <c r="I1" s="212"/>
      <c r="J1" s="213"/>
      <c r="K1" s="213"/>
      <c r="L1" s="213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139</v>
      </c>
      <c r="G3" s="10" t="s">
        <v>7</v>
      </c>
      <c r="H3" s="11" t="s">
        <v>7</v>
      </c>
      <c r="I3" s="197" t="s">
        <v>141</v>
      </c>
      <c r="J3" s="197" t="s">
        <v>140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42146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64">
        <v>1078584.8</v>
      </c>
      <c r="E5" s="165">
        <f>E6+E31+E44+E46+E49+E82</f>
        <v>1375229.5999999999</v>
      </c>
      <c r="F5" s="165">
        <f>F6+F31+F44+F46+F49+F82</f>
        <v>624183</v>
      </c>
      <c r="G5" s="165">
        <f>G6+G31+G44+G46+G49+G82</f>
        <v>644384.90606000007</v>
      </c>
      <c r="H5" s="166"/>
      <c r="I5" s="167">
        <f>G5-F5</f>
        <v>20201.906060000067</v>
      </c>
      <c r="J5" s="168">
        <f>G5/F5</f>
        <v>1.0323653576915746</v>
      </c>
      <c r="K5" s="168">
        <f>G5/E5</f>
        <v>0.46856532615353841</v>
      </c>
      <c r="L5" s="169">
        <f>G5-E5</f>
        <v>-730844.69393999979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64">
        <v>705340.9</v>
      </c>
      <c r="E6" s="165">
        <f>E7+E13</f>
        <v>770266.4</v>
      </c>
      <c r="F6" s="165">
        <f>F7+F13</f>
        <v>361888.9</v>
      </c>
      <c r="G6" s="165">
        <f>G7+G13</f>
        <v>389281.29389000009</v>
      </c>
      <c r="H6" s="166"/>
      <c r="I6" s="167">
        <f>G6-F6</f>
        <v>27392.393890000065</v>
      </c>
      <c r="J6" s="168">
        <f>G6/F6</f>
        <v>1.0756928269698243</v>
      </c>
      <c r="K6" s="168">
        <f t="shared" ref="K6:K66" si="0">G6/E6</f>
        <v>0.50538527175792691</v>
      </c>
      <c r="L6" s="169">
        <f t="shared" ref="L6:L69" si="1">G6-E6</f>
        <v>-380985.10610999994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170">
        <f>(SUM([1]Голосіїв!O12))/1000</f>
        <v>704381.4</v>
      </c>
      <c r="E7" s="171">
        <f>E8+E9+E11+E12+E10</f>
        <v>704381.4</v>
      </c>
      <c r="F7" s="171">
        <f>F8+F9+F11+F12+F10</f>
        <v>301600</v>
      </c>
      <c r="G7" s="171">
        <f>G8+G9+G11+G12+G10</f>
        <v>304821.79205000011</v>
      </c>
      <c r="H7" s="172">
        <f>('[1]класифікація (2011)'!C8-'[1]класифікація (2011)'!C12-'[1]класифікація (2011)'!C24)/1000</f>
        <v>93520.299014999997</v>
      </c>
      <c r="I7" s="167">
        <f>G7-F7</f>
        <v>3221.7920500001055</v>
      </c>
      <c r="J7" s="168">
        <f>G7/F7</f>
        <v>1.0106823343832896</v>
      </c>
      <c r="K7" s="168">
        <f t="shared" si="0"/>
        <v>0.43275105227082955</v>
      </c>
      <c r="L7" s="169">
        <f t="shared" si="1"/>
        <v>-399559.60794999992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173">
        <v>631281.4</v>
      </c>
      <c r="E8" s="173">
        <v>631281.4</v>
      </c>
      <c r="F8" s="173">
        <v>270800</v>
      </c>
      <c r="G8" s="172">
        <f>692316.65991-415389.99602</f>
        <v>276926.66389000003</v>
      </c>
      <c r="H8" s="172"/>
      <c r="I8" s="167">
        <f t="shared" ref="I8:I72" si="2">G8-F8</f>
        <v>6126.6638900000253</v>
      </c>
      <c r="J8" s="168">
        <f>G8/F8</f>
        <v>1.0226243127400296</v>
      </c>
      <c r="K8" s="168">
        <f t="shared" si="0"/>
        <v>0.43867388440400751</v>
      </c>
      <c r="L8" s="169">
        <f t="shared" si="1"/>
        <v>-354354.73611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173">
        <v>7200</v>
      </c>
      <c r="E9" s="173">
        <v>7200</v>
      </c>
      <c r="F9" s="173">
        <v>3300</v>
      </c>
      <c r="G9" s="172">
        <f>7412.04162-4447.22499</f>
        <v>2964.8166300000003</v>
      </c>
      <c r="H9" s="172"/>
      <c r="I9" s="167">
        <f t="shared" si="2"/>
        <v>-335.18336999999974</v>
      </c>
      <c r="J9" s="168">
        <f>G9/F9</f>
        <v>0.89842928181818194</v>
      </c>
      <c r="K9" s="168">
        <f t="shared" si="0"/>
        <v>0.41178008750000006</v>
      </c>
      <c r="L9" s="169">
        <f t="shared" si="1"/>
        <v>-4235.1833699999997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173">
        <v>0</v>
      </c>
      <c r="E10" s="173">
        <v>0</v>
      </c>
      <c r="F10" s="173">
        <v>0</v>
      </c>
      <c r="G10" s="172">
        <f>0.51891-0.31134</f>
        <v>0.20756999999999998</v>
      </c>
      <c r="H10" s="172"/>
      <c r="I10" s="167">
        <f t="shared" si="2"/>
        <v>0.20756999999999998</v>
      </c>
      <c r="J10" s="168">
        <v>0</v>
      </c>
      <c r="K10" s="168">
        <v>0</v>
      </c>
      <c r="L10" s="169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173">
        <v>40000</v>
      </c>
      <c r="E11" s="173">
        <v>40000</v>
      </c>
      <c r="F11" s="173">
        <v>19200</v>
      </c>
      <c r="G11" s="172">
        <f>48266.40722-28959.84432</f>
        <v>19306.562900000001</v>
      </c>
      <c r="H11" s="172"/>
      <c r="I11" s="167">
        <f t="shared" si="2"/>
        <v>106.56290000000081</v>
      </c>
      <c r="J11" s="168">
        <f>G11/F11</f>
        <v>1.0055501510416667</v>
      </c>
      <c r="K11" s="168">
        <f t="shared" si="0"/>
        <v>0.48266407250000004</v>
      </c>
      <c r="L11" s="169">
        <f t="shared" si="1"/>
        <v>-20693.437099999999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173">
        <v>25900</v>
      </c>
      <c r="E12" s="173">
        <v>25900</v>
      </c>
      <c r="F12" s="173">
        <v>8300</v>
      </c>
      <c r="G12" s="172">
        <f>14058.85266-8435.3116</f>
        <v>5623.5410599999996</v>
      </c>
      <c r="H12" s="172"/>
      <c r="I12" s="167">
        <f t="shared" si="2"/>
        <v>-2676.4589400000004</v>
      </c>
      <c r="J12" s="168">
        <f>G12/F12</f>
        <v>0.67753506746987946</v>
      </c>
      <c r="K12" s="168">
        <f t="shared" si="0"/>
        <v>0.21712513745173742</v>
      </c>
      <c r="L12" s="169">
        <f t="shared" si="1"/>
        <v>-20276.45894</v>
      </c>
      <c r="M12" s="25"/>
      <c r="N12" s="12"/>
      <c r="O12" s="12"/>
    </row>
    <row r="13" spans="1:15" s="13" customFormat="1" ht="64.5" x14ac:dyDescent="0.45">
      <c r="A13" s="38"/>
      <c r="B13" s="39">
        <v>11020000</v>
      </c>
      <c r="C13" s="31" t="s">
        <v>20</v>
      </c>
      <c r="D13" s="170">
        <v>959.5</v>
      </c>
      <c r="E13" s="171">
        <f>E14+E15+E23+E16+E17+E18+E19+E20+E21+E22+E24+E25+E26+E27+E28+E29+E30</f>
        <v>65885</v>
      </c>
      <c r="F13" s="171">
        <f>F14+F15+F23+F16+F17+F18+F19+F20+F21+F22+F24+F25+F26+F27+F28+F29+F30</f>
        <v>60288.9</v>
      </c>
      <c r="G13" s="171">
        <f>G14+G15+G23+G16+G17+G18+G19+G20+G21+G22+G24+G25+G26+G27+G28+G29+G30</f>
        <v>84459.501839999983</v>
      </c>
      <c r="H13" s="172"/>
      <c r="I13" s="167">
        <f t="shared" si="2"/>
        <v>24170.601839999981</v>
      </c>
      <c r="J13" s="168">
        <f>G13/F13</f>
        <v>1.4009129680587966</v>
      </c>
      <c r="K13" s="168">
        <f t="shared" si="0"/>
        <v>1.2819230756621383</v>
      </c>
      <c r="L13" s="169">
        <f t="shared" si="1"/>
        <v>18574.501839999983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173">
        <v>487.5</v>
      </c>
      <c r="E14" s="173">
        <v>487.5</v>
      </c>
      <c r="F14" s="173">
        <v>201.4</v>
      </c>
      <c r="G14" s="172">
        <v>181.46366</v>
      </c>
      <c r="H14" s="172"/>
      <c r="I14" s="167">
        <f t="shared" si="2"/>
        <v>-19.936340000000001</v>
      </c>
      <c r="J14" s="168">
        <f>G14/F14</f>
        <v>0.90101122144985102</v>
      </c>
      <c r="K14" s="168">
        <f t="shared" si="0"/>
        <v>0.37223314871794871</v>
      </c>
      <c r="L14" s="169">
        <f t="shared" si="1"/>
        <v>-306.03634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173"/>
      <c r="E15" s="173"/>
      <c r="F15" s="173">
        <v>0</v>
      </c>
      <c r="G15" s="172">
        <v>120.693</v>
      </c>
      <c r="H15" s="172"/>
      <c r="I15" s="167">
        <f t="shared" si="2"/>
        <v>120.693</v>
      </c>
      <c r="J15" s="168">
        <v>0</v>
      </c>
      <c r="K15" s="168">
        <v>0</v>
      </c>
      <c r="L15" s="169">
        <f t="shared" si="1"/>
        <v>120.693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173"/>
      <c r="E16" s="173">
        <v>5851.3</v>
      </c>
      <c r="F16" s="173">
        <v>5851.3</v>
      </c>
      <c r="G16" s="172">
        <f>184838.0928-166354.28351</f>
        <v>18483.809290000005</v>
      </c>
      <c r="H16" s="172"/>
      <c r="I16" s="167">
        <f t="shared" si="2"/>
        <v>12632.509290000005</v>
      </c>
      <c r="J16" s="168">
        <v>0</v>
      </c>
      <c r="K16" s="168">
        <f t="shared" si="0"/>
        <v>3.1589235366499757</v>
      </c>
      <c r="L16" s="169">
        <f t="shared" si="1"/>
        <v>12632.509290000005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173"/>
      <c r="E17" s="173">
        <v>7205.9</v>
      </c>
      <c r="F17" s="173">
        <v>7205.9</v>
      </c>
      <c r="G17" s="172">
        <f>56727.67518-51054.90757</f>
        <v>5672.7676099999953</v>
      </c>
      <c r="H17" s="172"/>
      <c r="I17" s="167">
        <f t="shared" si="2"/>
        <v>-1533.1323900000043</v>
      </c>
      <c r="J17" s="168">
        <v>0</v>
      </c>
      <c r="K17" s="168">
        <f t="shared" si="0"/>
        <v>0.78723929141397964</v>
      </c>
      <c r="L17" s="169">
        <f t="shared" si="1"/>
        <v>-1533.1323900000043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173"/>
      <c r="E18" s="173">
        <v>3343.9</v>
      </c>
      <c r="F18" s="173">
        <v>1630.8</v>
      </c>
      <c r="G18" s="172">
        <f>7293.25034-6563.92531</f>
        <v>729.32502999999997</v>
      </c>
      <c r="H18" s="172"/>
      <c r="I18" s="167">
        <f t="shared" si="2"/>
        <v>-901.47496999999998</v>
      </c>
      <c r="J18" s="168">
        <v>0</v>
      </c>
      <c r="K18" s="168">
        <f t="shared" si="0"/>
        <v>0.21810611262298513</v>
      </c>
      <c r="L18" s="169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173"/>
      <c r="E19" s="173">
        <v>652.20000000000005</v>
      </c>
      <c r="F19" s="173">
        <v>318.10000000000002</v>
      </c>
      <c r="G19" s="172">
        <f>20387.09623-18348.3866</f>
        <v>2038.7096299999976</v>
      </c>
      <c r="H19" s="172"/>
      <c r="I19" s="167">
        <f t="shared" si="2"/>
        <v>1720.6096299999977</v>
      </c>
      <c r="J19" s="168">
        <v>0</v>
      </c>
      <c r="K19" s="168">
        <f t="shared" si="0"/>
        <v>3.1258963968107905</v>
      </c>
      <c r="L19" s="169">
        <f t="shared" si="1"/>
        <v>1386.5096299999975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173"/>
      <c r="E20" s="173">
        <v>56</v>
      </c>
      <c r="F20" s="173">
        <v>27.3</v>
      </c>
      <c r="G20" s="172">
        <f>1214.8503-1093.36526</f>
        <v>121.48504000000003</v>
      </c>
      <c r="H20" s="172"/>
      <c r="I20" s="167">
        <f t="shared" si="2"/>
        <v>94.185040000000029</v>
      </c>
      <c r="J20" s="168">
        <v>0</v>
      </c>
      <c r="K20" s="168">
        <f t="shared" si="0"/>
        <v>2.1693757142857146</v>
      </c>
      <c r="L20" s="169">
        <f t="shared" si="1"/>
        <v>65.485040000000026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173"/>
      <c r="E21" s="173">
        <v>8307.2999999999993</v>
      </c>
      <c r="F21" s="173">
        <v>8307.2999999999993</v>
      </c>
      <c r="G21" s="172">
        <f>149208.02026-134287.21813</f>
        <v>14920.802129999996</v>
      </c>
      <c r="H21" s="172"/>
      <c r="I21" s="167">
        <f t="shared" si="2"/>
        <v>6613.5021299999971</v>
      </c>
      <c r="J21" s="168">
        <v>0</v>
      </c>
      <c r="K21" s="168">
        <f t="shared" si="0"/>
        <v>1.7961072947889203</v>
      </c>
      <c r="L21" s="169">
        <f t="shared" si="1"/>
        <v>6613.5021299999971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173"/>
      <c r="E22" s="173">
        <v>54.3</v>
      </c>
      <c r="F22" s="173">
        <v>26.5</v>
      </c>
      <c r="G22" s="172">
        <f>1815.17693-1633.65924</f>
        <v>181.51769000000013</v>
      </c>
      <c r="H22" s="172"/>
      <c r="I22" s="167">
        <f t="shared" si="2"/>
        <v>155.01769000000013</v>
      </c>
      <c r="J22" s="168">
        <v>0</v>
      </c>
      <c r="K22" s="168">
        <f t="shared" si="0"/>
        <v>3.3428672191528572</v>
      </c>
      <c r="L22" s="169">
        <f t="shared" si="1"/>
        <v>127.21769000000013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173">
        <v>472</v>
      </c>
      <c r="E23" s="173">
        <v>472</v>
      </c>
      <c r="F23" s="173">
        <v>194</v>
      </c>
      <c r="G23" s="172">
        <f>147.851+2.628</f>
        <v>150.47899999999998</v>
      </c>
      <c r="H23" s="172"/>
      <c r="I23" s="167">
        <f t="shared" si="2"/>
        <v>-43.521000000000015</v>
      </c>
      <c r="J23" s="168">
        <f>G23/F23</f>
        <v>0.77566494845360812</v>
      </c>
      <c r="K23" s="168">
        <f t="shared" si="0"/>
        <v>0.31881144067796607</v>
      </c>
      <c r="L23" s="169">
        <f t="shared" si="1"/>
        <v>-321.52100000000002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173"/>
      <c r="E24" s="173">
        <v>16819.900000000001</v>
      </c>
      <c r="F24" s="173">
        <v>16819.900000000001</v>
      </c>
      <c r="G24" s="172">
        <f>144133.84603-129720.46143</f>
        <v>14413.38459999999</v>
      </c>
      <c r="H24" s="172"/>
      <c r="I24" s="167">
        <f t="shared" si="2"/>
        <v>-2406.5154000000111</v>
      </c>
      <c r="J24" s="168">
        <v>0</v>
      </c>
      <c r="K24" s="168">
        <f t="shared" si="0"/>
        <v>0.85692451203633724</v>
      </c>
      <c r="L24" s="169">
        <f t="shared" si="1"/>
        <v>-2406.5154000000111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173"/>
      <c r="E25" s="173">
        <v>345.5</v>
      </c>
      <c r="F25" s="173">
        <v>168.5</v>
      </c>
      <c r="G25" s="172">
        <f>4804.28-4323.852</f>
        <v>480.42799999999988</v>
      </c>
      <c r="H25" s="172"/>
      <c r="I25" s="167">
        <f t="shared" si="2"/>
        <v>311.92799999999988</v>
      </c>
      <c r="J25" s="168">
        <v>0</v>
      </c>
      <c r="K25" s="168">
        <f t="shared" si="0"/>
        <v>1.390529667149059</v>
      </c>
      <c r="L25" s="169">
        <f t="shared" si="1"/>
        <v>134.92799999999988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173"/>
      <c r="E26" s="173">
        <v>3254.6</v>
      </c>
      <c r="F26" s="173">
        <v>3254.6</v>
      </c>
      <c r="G26" s="172">
        <f>159839.69426-143855.72483</f>
        <v>15983.969429999997</v>
      </c>
      <c r="H26" s="172"/>
      <c r="I26" s="167">
        <f t="shared" si="2"/>
        <v>12729.369429999997</v>
      </c>
      <c r="J26" s="168">
        <v>0</v>
      </c>
      <c r="K26" s="168">
        <f t="shared" si="0"/>
        <v>4.9111932126835853</v>
      </c>
      <c r="L26" s="169">
        <f t="shared" si="1"/>
        <v>12729.369429999997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173"/>
      <c r="E27" s="173">
        <v>1964.8</v>
      </c>
      <c r="F27" s="173">
        <v>958.3</v>
      </c>
      <c r="G27" s="172">
        <f>24386.76797-21948.09117</f>
        <v>2438.6768000000011</v>
      </c>
      <c r="H27" s="172"/>
      <c r="I27" s="167">
        <f t="shared" si="2"/>
        <v>1480.3768000000011</v>
      </c>
      <c r="J27" s="168">
        <v>0</v>
      </c>
      <c r="K27" s="168">
        <f t="shared" si="0"/>
        <v>1.2411832247557009</v>
      </c>
      <c r="L27" s="169">
        <f t="shared" si="1"/>
        <v>473.87680000000114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173"/>
      <c r="E28" s="173">
        <v>11.6</v>
      </c>
      <c r="F28" s="173">
        <v>5.6</v>
      </c>
      <c r="G28" s="172">
        <f>0.18041-0.16237</f>
        <v>1.804E-2</v>
      </c>
      <c r="H28" s="172"/>
      <c r="I28" s="167">
        <f t="shared" si="2"/>
        <v>-5.5819599999999996</v>
      </c>
      <c r="J28" s="168">
        <v>0</v>
      </c>
      <c r="K28" s="168">
        <f t="shared" si="0"/>
        <v>1.5551724137931036E-3</v>
      </c>
      <c r="L28" s="169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173"/>
      <c r="E29" s="173">
        <v>17007.3</v>
      </c>
      <c r="F29" s="173">
        <v>15294.6</v>
      </c>
      <c r="G29" s="172">
        <f>84717.33035-76245.59726</f>
        <v>8471.7330900000088</v>
      </c>
      <c r="H29" s="172"/>
      <c r="I29" s="167">
        <f t="shared" si="2"/>
        <v>-6822.8669099999915</v>
      </c>
      <c r="J29" s="168">
        <v>0</v>
      </c>
      <c r="K29" s="168">
        <f t="shared" si="0"/>
        <v>0.49812334056552238</v>
      </c>
      <c r="L29" s="169">
        <f t="shared" si="1"/>
        <v>-8535.5669099999905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173"/>
      <c r="E30" s="173">
        <v>50.9</v>
      </c>
      <c r="F30" s="173">
        <v>24.8</v>
      </c>
      <c r="G30" s="172">
        <f>662.398-592.1582</f>
        <v>70.239800000000059</v>
      </c>
      <c r="H30" s="172"/>
      <c r="I30" s="167">
        <f t="shared" si="2"/>
        <v>45.439800000000062</v>
      </c>
      <c r="J30" s="168">
        <v>0</v>
      </c>
      <c r="K30" s="168">
        <f t="shared" si="0"/>
        <v>1.379956777996072</v>
      </c>
      <c r="L30" s="169">
        <f t="shared" si="1"/>
        <v>19.339800000000061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170">
        <v>7626.9</v>
      </c>
      <c r="E31" s="171">
        <f>E32+E34+E39+E42</f>
        <v>7626.9</v>
      </c>
      <c r="F31" s="171">
        <f>F32+F34+F39+F42</f>
        <v>3187.3999999999996</v>
      </c>
      <c r="G31" s="171">
        <f>G32+G34+G39+G42</f>
        <v>8574.9287899999999</v>
      </c>
      <c r="H31" s="172"/>
      <c r="I31" s="167">
        <f t="shared" si="2"/>
        <v>5387.5287900000003</v>
      </c>
      <c r="J31" s="168">
        <f>G31/F31</f>
        <v>2.690258138294535</v>
      </c>
      <c r="K31" s="168">
        <f t="shared" si="0"/>
        <v>1.1243006713081332</v>
      </c>
      <c r="L31" s="169">
        <f t="shared" si="1"/>
        <v>948.0287900000003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173">
        <v>0</v>
      </c>
      <c r="E32" s="173"/>
      <c r="F32" s="173">
        <v>0</v>
      </c>
      <c r="G32" s="174">
        <f>G33</f>
        <v>26.96754</v>
      </c>
      <c r="H32" s="172"/>
      <c r="I32" s="167">
        <f t="shared" si="2"/>
        <v>26.96754</v>
      </c>
      <c r="J32" s="168">
        <v>0</v>
      </c>
      <c r="K32" s="168">
        <v>0</v>
      </c>
      <c r="L32" s="169">
        <f t="shared" si="1"/>
        <v>26.96754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173">
        <v>0</v>
      </c>
      <c r="E33" s="173"/>
      <c r="F33" s="173">
        <v>0</v>
      </c>
      <c r="G33" s="172">
        <v>26.96754</v>
      </c>
      <c r="H33" s="172"/>
      <c r="I33" s="167">
        <f t="shared" si="2"/>
        <v>26.96754</v>
      </c>
      <c r="J33" s="168">
        <v>0</v>
      </c>
      <c r="K33" s="168">
        <v>0</v>
      </c>
      <c r="L33" s="169">
        <f t="shared" si="1"/>
        <v>26.96754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175">
        <v>6555.9</v>
      </c>
      <c r="E34" s="175">
        <v>6555.9</v>
      </c>
      <c r="F34" s="174">
        <f>F35+F36+F37+F38</f>
        <v>2460.1</v>
      </c>
      <c r="G34" s="174">
        <f>G35+G36+G37+G38</f>
        <v>8342.7992599999998</v>
      </c>
      <c r="H34" s="172"/>
      <c r="I34" s="167">
        <f t="shared" si="2"/>
        <v>5882.6992599999994</v>
      </c>
      <c r="J34" s="168">
        <f>G34/F34</f>
        <v>3.3912439575627009</v>
      </c>
      <c r="K34" s="168">
        <f t="shared" si="0"/>
        <v>1.2725635320856024</v>
      </c>
      <c r="L34" s="169">
        <f t="shared" si="1"/>
        <v>1786.8992600000001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173">
        <v>6555.4</v>
      </c>
      <c r="E35" s="173">
        <v>6555.4</v>
      </c>
      <c r="F35" s="173">
        <v>2460</v>
      </c>
      <c r="G35" s="172">
        <f>16683.20368-8341.60192</f>
        <v>8341.6017599999996</v>
      </c>
      <c r="H35" s="172"/>
      <c r="I35" s="167">
        <f t="shared" si="2"/>
        <v>5881.6017599999996</v>
      </c>
      <c r="J35" s="168">
        <f>G35/F35</f>
        <v>3.3908950243902436</v>
      </c>
      <c r="K35" s="168">
        <f t="shared" si="0"/>
        <v>1.2724779204930285</v>
      </c>
      <c r="L35" s="169">
        <f t="shared" si="1"/>
        <v>1786.2017599999999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173">
        <v>0.5</v>
      </c>
      <c r="E36" s="173">
        <v>0.5</v>
      </c>
      <c r="F36" s="173">
        <v>0.1</v>
      </c>
      <c r="G36" s="172">
        <v>0.31818000000000002</v>
      </c>
      <c r="H36" s="172"/>
      <c r="I36" s="167">
        <f t="shared" si="2"/>
        <v>0.21818000000000001</v>
      </c>
      <c r="J36" s="168">
        <f>G36/F36</f>
        <v>3.1818</v>
      </c>
      <c r="K36" s="168">
        <f t="shared" si="0"/>
        <v>0.63636000000000004</v>
      </c>
      <c r="L36" s="169">
        <f t="shared" si="1"/>
        <v>-0.18181999999999998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173"/>
      <c r="E37" s="173"/>
      <c r="F37" s="173">
        <v>0</v>
      </c>
      <c r="G37" s="172">
        <f>0.91706-0.45853</f>
        <v>0.45852999999999999</v>
      </c>
      <c r="H37" s="172"/>
      <c r="I37" s="167">
        <f t="shared" si="2"/>
        <v>0.45852999999999999</v>
      </c>
      <c r="J37" s="168">
        <v>0</v>
      </c>
      <c r="K37" s="168">
        <v>0</v>
      </c>
      <c r="L37" s="169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173"/>
      <c r="E38" s="173"/>
      <c r="F38" s="173">
        <v>0</v>
      </c>
      <c r="G38" s="172">
        <f>0.84158-0.42079</f>
        <v>0.42079</v>
      </c>
      <c r="H38" s="172"/>
      <c r="I38" s="167">
        <f t="shared" si="2"/>
        <v>0.42079</v>
      </c>
      <c r="J38" s="168">
        <v>0</v>
      </c>
      <c r="K38" s="168">
        <v>0</v>
      </c>
      <c r="L38" s="169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170">
        <v>1070.8</v>
      </c>
      <c r="E39" s="170">
        <v>1070.8</v>
      </c>
      <c r="F39" s="171">
        <f>F41+F40</f>
        <v>727.1</v>
      </c>
      <c r="G39" s="171">
        <f>G41+G40</f>
        <v>204.87988000000001</v>
      </c>
      <c r="H39" s="172"/>
      <c r="I39" s="167">
        <f t="shared" si="2"/>
        <v>-522.22011999999995</v>
      </c>
      <c r="J39" s="168">
        <f>G39/F39</f>
        <v>0.28177675697978272</v>
      </c>
      <c r="K39" s="168">
        <f t="shared" si="0"/>
        <v>0.19133347030257752</v>
      </c>
      <c r="L39" s="169">
        <f t="shared" si="1"/>
        <v>-865.92012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173">
        <v>165.8</v>
      </c>
      <c r="E40" s="173">
        <v>165.8</v>
      </c>
      <c r="F40" s="173">
        <v>42.1</v>
      </c>
      <c r="G40" s="172">
        <f>217.57981-163.18479</f>
        <v>54.395020000000017</v>
      </c>
      <c r="H40" s="172"/>
      <c r="I40" s="167">
        <f t="shared" si="2"/>
        <v>12.295020000000015</v>
      </c>
      <c r="J40" s="168">
        <f>G40/F40</f>
        <v>1.2920432304038008</v>
      </c>
      <c r="K40" s="168">
        <f t="shared" si="0"/>
        <v>0.32807611580217139</v>
      </c>
      <c r="L40" s="169">
        <f t="shared" si="1"/>
        <v>-111.40497999999999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173">
        <v>905</v>
      </c>
      <c r="E41" s="173">
        <v>905</v>
      </c>
      <c r="F41" s="173">
        <v>685</v>
      </c>
      <c r="G41" s="172">
        <v>150.48486</v>
      </c>
      <c r="H41" s="172"/>
      <c r="I41" s="167">
        <f t="shared" si="2"/>
        <v>-534.51513999999997</v>
      </c>
      <c r="J41" s="168">
        <f>G41/F41</f>
        <v>0.21968592700729928</v>
      </c>
      <c r="K41" s="168">
        <f t="shared" si="0"/>
        <v>0.1662816132596685</v>
      </c>
      <c r="L41" s="169">
        <f t="shared" si="1"/>
        <v>-754.51513999999997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170">
        <v>0.2</v>
      </c>
      <c r="E42" s="170">
        <v>0.2</v>
      </c>
      <c r="F42" s="174">
        <f>F43</f>
        <v>0.2</v>
      </c>
      <c r="G42" s="174">
        <f>G43</f>
        <v>0.28211000000000003</v>
      </c>
      <c r="H42" s="172"/>
      <c r="I42" s="167">
        <f t="shared" si="2"/>
        <v>8.2110000000000016E-2</v>
      </c>
      <c r="J42" s="168">
        <f>G42/F42</f>
        <v>1.41055</v>
      </c>
      <c r="K42" s="168">
        <f t="shared" si="0"/>
        <v>1.41055</v>
      </c>
      <c r="L42" s="169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173"/>
      <c r="E43" s="173"/>
      <c r="F43" s="173">
        <v>0.2</v>
      </c>
      <c r="G43" s="172">
        <v>0.28211000000000003</v>
      </c>
      <c r="H43" s="172"/>
      <c r="I43" s="167">
        <f t="shared" si="2"/>
        <v>8.2110000000000016E-2</v>
      </c>
      <c r="J43" s="168">
        <f>G43/F43</f>
        <v>1.41055</v>
      </c>
      <c r="K43" s="168">
        <v>0</v>
      </c>
      <c r="L43" s="169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170"/>
      <c r="E44" s="171">
        <f>E45</f>
        <v>89700</v>
      </c>
      <c r="F44" s="171">
        <f>F45</f>
        <v>34300</v>
      </c>
      <c r="G44" s="171">
        <f>G45</f>
        <v>33305.062850000002</v>
      </c>
      <c r="H44" s="172"/>
      <c r="I44" s="167">
        <f t="shared" si="2"/>
        <v>-994.93714999999793</v>
      </c>
      <c r="J44" s="168">
        <v>0</v>
      </c>
      <c r="K44" s="168">
        <f t="shared" si="0"/>
        <v>0.37129390022296549</v>
      </c>
      <c r="L44" s="169">
        <f t="shared" si="1"/>
        <v>-56394.937149999998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173"/>
      <c r="E45" s="173">
        <v>89700</v>
      </c>
      <c r="F45" s="173">
        <v>34300</v>
      </c>
      <c r="G45" s="172">
        <v>33305.062850000002</v>
      </c>
      <c r="H45" s="172"/>
      <c r="I45" s="167">
        <f t="shared" si="2"/>
        <v>-994.93714999999793</v>
      </c>
      <c r="J45" s="168">
        <v>0</v>
      </c>
      <c r="K45" s="168">
        <f t="shared" si="0"/>
        <v>0.37129390022296549</v>
      </c>
      <c r="L45" s="169">
        <f t="shared" si="1"/>
        <v>-56394.937149999998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170"/>
      <c r="E46" s="170">
        <v>0</v>
      </c>
      <c r="F46" s="171">
        <f>F48</f>
        <v>0</v>
      </c>
      <c r="G46" s="171">
        <f>G48</f>
        <v>3.3585799999999999</v>
      </c>
      <c r="H46" s="172"/>
      <c r="I46" s="167">
        <f t="shared" si="2"/>
        <v>3.3585799999999999</v>
      </c>
      <c r="J46" s="168">
        <v>0</v>
      </c>
      <c r="K46" s="168">
        <v>0</v>
      </c>
      <c r="L46" s="169">
        <f t="shared" si="1"/>
        <v>3.3585799999999999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170"/>
      <c r="E47" s="170">
        <v>0</v>
      </c>
      <c r="F47" s="171">
        <f>F48</f>
        <v>0</v>
      </c>
      <c r="G47" s="171">
        <f>G48</f>
        <v>3.3585799999999999</v>
      </c>
      <c r="H47" s="172"/>
      <c r="I47" s="167">
        <f t="shared" si="2"/>
        <v>3.3585799999999999</v>
      </c>
      <c r="J47" s="168">
        <v>0</v>
      </c>
      <c r="K47" s="168">
        <v>0</v>
      </c>
      <c r="L47" s="169">
        <f t="shared" si="1"/>
        <v>3.3585799999999999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173">
        <v>0</v>
      </c>
      <c r="E48" s="173">
        <v>0</v>
      </c>
      <c r="F48" s="173">
        <v>0</v>
      </c>
      <c r="G48" s="172">
        <v>3.3585799999999999</v>
      </c>
      <c r="H48" s="172"/>
      <c r="I48" s="167">
        <f t="shared" si="2"/>
        <v>3.3585799999999999</v>
      </c>
      <c r="J48" s="168">
        <v>0</v>
      </c>
      <c r="K48" s="168">
        <v>0</v>
      </c>
      <c r="L48" s="169">
        <f t="shared" si="1"/>
        <v>3.3585799999999999</v>
      </c>
      <c r="M48" s="25"/>
      <c r="N48" s="12"/>
      <c r="O48" s="12"/>
    </row>
    <row r="49" spans="1:15" s="13" customFormat="1" ht="64.5" x14ac:dyDescent="0.45">
      <c r="A49" s="38"/>
      <c r="B49" s="39">
        <v>18000000</v>
      </c>
      <c r="C49" s="40" t="s">
        <v>56</v>
      </c>
      <c r="D49" s="170">
        <v>365617</v>
      </c>
      <c r="E49" s="171">
        <f>E50+E62+E64+E67+E77</f>
        <v>506933.89999999991</v>
      </c>
      <c r="F49" s="171">
        <f>F50+F62+F64+F67+F77</f>
        <v>224469.6</v>
      </c>
      <c r="G49" s="171">
        <f>G50+G62+G64+G67+G77</f>
        <v>213041.75704</v>
      </c>
      <c r="H49" s="172"/>
      <c r="I49" s="167">
        <f t="shared" si="2"/>
        <v>-11427.842960000009</v>
      </c>
      <c r="J49" s="168">
        <f>G49/F49</f>
        <v>0.94908957400022098</v>
      </c>
      <c r="K49" s="168">
        <f t="shared" si="0"/>
        <v>0.42025549492744524</v>
      </c>
      <c r="L49" s="169">
        <f t="shared" si="1"/>
        <v>-293892.14295999991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173">
        <v>360978.2</v>
      </c>
      <c r="E50" s="172">
        <f>E51+E52+E53+E54+E55+E56+E57+E58+E60+E59</f>
        <v>380750.19999999995</v>
      </c>
      <c r="F50" s="172">
        <f>F51+F52+F53+F54+F55+F56+F57+F58+F60+F59</f>
        <v>154410</v>
      </c>
      <c r="G50" s="172">
        <f>G51+G52+G53+G54+G55+G56+G57+G58+G60+G59</f>
        <v>131026.99749000001</v>
      </c>
      <c r="H50" s="172"/>
      <c r="I50" s="167">
        <f t="shared" si="2"/>
        <v>-23383.002509999991</v>
      </c>
      <c r="J50" s="168">
        <f>G50/F50</f>
        <v>0.84856549115989899</v>
      </c>
      <c r="K50" s="168">
        <f t="shared" si="0"/>
        <v>0.34412850601260359</v>
      </c>
      <c r="L50" s="169">
        <f t="shared" si="1"/>
        <v>-249723.20250999994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173">
        <v>0</v>
      </c>
      <c r="E51" s="173">
        <v>1951</v>
      </c>
      <c r="F51" s="173">
        <v>1951</v>
      </c>
      <c r="G51" s="172">
        <v>918.70722999999998</v>
      </c>
      <c r="H51" s="172"/>
      <c r="I51" s="167">
        <f t="shared" si="2"/>
        <v>-1032.29277</v>
      </c>
      <c r="J51" s="168">
        <v>0</v>
      </c>
      <c r="K51" s="168">
        <f t="shared" si="0"/>
        <v>0.47089043054843671</v>
      </c>
      <c r="L51" s="169">
        <f t="shared" si="1"/>
        <v>-1032.29277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173">
        <v>0</v>
      </c>
      <c r="E52" s="173">
        <v>1315</v>
      </c>
      <c r="F52" s="173">
        <v>0</v>
      </c>
      <c r="G52" s="172">
        <v>-1.23821</v>
      </c>
      <c r="H52" s="172"/>
      <c r="I52" s="167">
        <f t="shared" si="2"/>
        <v>-1.23821</v>
      </c>
      <c r="J52" s="168">
        <v>0</v>
      </c>
      <c r="K52" s="168">
        <f t="shared" si="0"/>
        <v>-9.4160456273764258E-4</v>
      </c>
      <c r="L52" s="169">
        <f t="shared" si="1"/>
        <v>-1316.23821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173">
        <v>0</v>
      </c>
      <c r="E53" s="173">
        <v>0</v>
      </c>
      <c r="F53" s="173">
        <v>0</v>
      </c>
      <c r="G53" s="172">
        <v>11.277710000000001</v>
      </c>
      <c r="H53" s="172"/>
      <c r="I53" s="167">
        <f t="shared" si="2"/>
        <v>11.277710000000001</v>
      </c>
      <c r="J53" s="168">
        <v>0</v>
      </c>
      <c r="K53" s="168">
        <v>0</v>
      </c>
      <c r="L53" s="169">
        <f t="shared" si="1"/>
        <v>11.277710000000001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173">
        <v>0</v>
      </c>
      <c r="E54" s="173">
        <v>8105</v>
      </c>
      <c r="F54" s="173">
        <v>8105</v>
      </c>
      <c r="G54" s="172">
        <v>7194.07575</v>
      </c>
      <c r="H54" s="172"/>
      <c r="I54" s="167">
        <f t="shared" si="2"/>
        <v>-910.92425000000003</v>
      </c>
      <c r="J54" s="168">
        <v>0</v>
      </c>
      <c r="K54" s="168">
        <f t="shared" si="0"/>
        <v>0.88760959284392349</v>
      </c>
      <c r="L54" s="169">
        <f t="shared" si="1"/>
        <v>-910.92425000000003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173">
        <v>115874</v>
      </c>
      <c r="E55" s="173">
        <v>115874</v>
      </c>
      <c r="F55" s="173">
        <v>42022</v>
      </c>
      <c r="G55" s="172">
        <v>36224.24811</v>
      </c>
      <c r="H55" s="172"/>
      <c r="I55" s="167">
        <f t="shared" si="2"/>
        <v>-5797.7518899999995</v>
      </c>
      <c r="J55" s="168">
        <f>G55/F55</f>
        <v>0.86203055804102613</v>
      </c>
      <c r="K55" s="168">
        <f t="shared" si="0"/>
        <v>0.31261756830695409</v>
      </c>
      <c r="L55" s="169">
        <f t="shared" si="1"/>
        <v>-79649.75189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173">
        <v>234996.8</v>
      </c>
      <c r="E56" s="173">
        <v>234996.8</v>
      </c>
      <c r="F56" s="173">
        <v>97550</v>
      </c>
      <c r="G56" s="172">
        <v>83327.358930000002</v>
      </c>
      <c r="H56" s="172"/>
      <c r="I56" s="167">
        <f t="shared" si="2"/>
        <v>-14222.641069999998</v>
      </c>
      <c r="J56" s="168">
        <f>G56/F56</f>
        <v>0.8542015267042542</v>
      </c>
      <c r="K56" s="168">
        <f t="shared" si="0"/>
        <v>0.35458933453561925</v>
      </c>
      <c r="L56" s="169">
        <f t="shared" si="1"/>
        <v>-151669.44107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173">
        <v>6136.6</v>
      </c>
      <c r="E57" s="173">
        <v>6136.6</v>
      </c>
      <c r="F57" s="173">
        <v>1295</v>
      </c>
      <c r="G57" s="172">
        <v>1035.76983</v>
      </c>
      <c r="H57" s="172"/>
      <c r="I57" s="167">
        <f t="shared" si="2"/>
        <v>-259.23017000000004</v>
      </c>
      <c r="J57" s="168">
        <f>G57/F57</f>
        <v>0.7998222625482625</v>
      </c>
      <c r="K57" s="168">
        <f t="shared" si="0"/>
        <v>0.16878561907245052</v>
      </c>
      <c r="L57" s="169">
        <f t="shared" si="1"/>
        <v>-5100.8301700000002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173">
        <v>3970.8</v>
      </c>
      <c r="E58" s="173">
        <v>3970.8</v>
      </c>
      <c r="F58" s="173">
        <v>733</v>
      </c>
      <c r="G58" s="172">
        <v>584.22963000000004</v>
      </c>
      <c r="H58" s="172"/>
      <c r="I58" s="167">
        <f t="shared" si="2"/>
        <v>-148.77036999999996</v>
      </c>
      <c r="J58" s="168">
        <f>G58/F58</f>
        <v>0.79703905866302871</v>
      </c>
      <c r="K58" s="168">
        <f t="shared" si="0"/>
        <v>0.14713146721063766</v>
      </c>
      <c r="L58" s="169">
        <f t="shared" si="1"/>
        <v>-3386.5703700000004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173">
        <v>0</v>
      </c>
      <c r="E59" s="173">
        <v>5647</v>
      </c>
      <c r="F59" s="173">
        <v>0</v>
      </c>
      <c r="G59" s="172">
        <v>0</v>
      </c>
      <c r="H59" s="172"/>
      <c r="I59" s="167">
        <f t="shared" si="2"/>
        <v>0</v>
      </c>
      <c r="J59" s="168">
        <v>0</v>
      </c>
      <c r="K59" s="168">
        <f t="shared" si="0"/>
        <v>0</v>
      </c>
      <c r="L59" s="169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173">
        <v>0</v>
      </c>
      <c r="E60" s="173">
        <v>2754</v>
      </c>
      <c r="F60" s="173">
        <v>2754</v>
      </c>
      <c r="G60" s="172">
        <v>1732.5685100000001</v>
      </c>
      <c r="H60" s="172"/>
      <c r="I60" s="167">
        <f t="shared" si="2"/>
        <v>-1021.4314899999999</v>
      </c>
      <c r="J60" s="168">
        <v>0</v>
      </c>
      <c r="K60" s="168">
        <f t="shared" si="0"/>
        <v>0.62910984386347135</v>
      </c>
      <c r="L60" s="169">
        <f t="shared" si="1"/>
        <v>-1021.4314899999999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71">
        <f t="shared" ref="D61:E61" si="3">D62+D63</f>
        <v>4098.6000000000004</v>
      </c>
      <c r="E61" s="171">
        <f t="shared" si="3"/>
        <v>4098.6000000000004</v>
      </c>
      <c r="F61" s="171">
        <f>F62+F63</f>
        <v>990</v>
      </c>
      <c r="G61" s="171">
        <f>G62</f>
        <v>655.67346999999995</v>
      </c>
      <c r="H61" s="171"/>
      <c r="I61" s="167">
        <f t="shared" si="2"/>
        <v>-334.32653000000005</v>
      </c>
      <c r="J61" s="168">
        <f>G61/F61</f>
        <v>0.66229643434343433</v>
      </c>
      <c r="K61" s="168">
        <f t="shared" si="0"/>
        <v>0.15997498414092615</v>
      </c>
      <c r="L61" s="169">
        <f t="shared" si="1"/>
        <v>-3442.9265300000006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173">
        <v>4098.6000000000004</v>
      </c>
      <c r="E62" s="173">
        <v>4098.6000000000004</v>
      </c>
      <c r="F62" s="173">
        <v>990</v>
      </c>
      <c r="G62" s="172">
        <v>655.67346999999995</v>
      </c>
      <c r="H62" s="172"/>
      <c r="I62" s="167">
        <f t="shared" si="2"/>
        <v>-334.32653000000005</v>
      </c>
      <c r="J62" s="168">
        <f>G62/F62</f>
        <v>0.66229643434343433</v>
      </c>
      <c r="K62" s="168">
        <f t="shared" si="0"/>
        <v>0.15997498414092615</v>
      </c>
      <c r="L62" s="169">
        <f t="shared" si="1"/>
        <v>-3442.9265300000006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173">
        <v>0</v>
      </c>
      <c r="E63" s="173">
        <v>0</v>
      </c>
      <c r="F63" s="173">
        <v>0</v>
      </c>
      <c r="G63" s="172">
        <v>0</v>
      </c>
      <c r="H63" s="172"/>
      <c r="I63" s="167">
        <f t="shared" si="2"/>
        <v>0</v>
      </c>
      <c r="J63" s="168"/>
      <c r="K63" s="168">
        <v>0</v>
      </c>
      <c r="L63" s="169">
        <f t="shared" si="1"/>
        <v>0</v>
      </c>
      <c r="M63" s="25"/>
      <c r="N63" s="12"/>
      <c r="O63" s="12"/>
    </row>
    <row r="64" spans="1:15" s="13" customFormat="1" ht="64.5" x14ac:dyDescent="0.45">
      <c r="A64" s="38"/>
      <c r="B64" s="30">
        <v>18030000</v>
      </c>
      <c r="C64" s="31" t="s">
        <v>68</v>
      </c>
      <c r="D64" s="170">
        <v>540.20000000000005</v>
      </c>
      <c r="E64" s="170">
        <v>540.20000000000005</v>
      </c>
      <c r="F64" s="171">
        <f>F65+F66</f>
        <v>131.20000000000002</v>
      </c>
      <c r="G64" s="171">
        <f>G65+G66</f>
        <v>286.01926000000003</v>
      </c>
      <c r="H64" s="172"/>
      <c r="I64" s="167">
        <f t="shared" si="2"/>
        <v>154.81926000000001</v>
      </c>
      <c r="J64" s="168">
        <f>G64/F64</f>
        <v>2.1800248475609756</v>
      </c>
      <c r="K64" s="168">
        <f t="shared" si="0"/>
        <v>0.52946919659385416</v>
      </c>
      <c r="L64" s="169">
        <f t="shared" si="1"/>
        <v>-254.18074000000001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173">
        <v>515.4</v>
      </c>
      <c r="E65" s="173">
        <v>515.4</v>
      </c>
      <c r="F65" s="173">
        <v>120.4</v>
      </c>
      <c r="G65" s="172">
        <v>249.06986000000001</v>
      </c>
      <c r="H65" s="172"/>
      <c r="I65" s="167">
        <f t="shared" si="2"/>
        <v>128.66986</v>
      </c>
      <c r="J65" s="168">
        <f>G65/F65</f>
        <v>2.0686865448504981</v>
      </c>
      <c r="K65" s="168">
        <f t="shared" si="0"/>
        <v>0.48325545207605747</v>
      </c>
      <c r="L65" s="169">
        <f t="shared" si="1"/>
        <v>-266.33013999999997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173">
        <v>24.8</v>
      </c>
      <c r="E66" s="173">
        <v>24.8</v>
      </c>
      <c r="F66" s="173">
        <v>10.8</v>
      </c>
      <c r="G66" s="172">
        <v>36.949399999999997</v>
      </c>
      <c r="H66" s="172"/>
      <c r="I66" s="167">
        <f t="shared" si="2"/>
        <v>26.149399999999996</v>
      </c>
      <c r="J66" s="168">
        <f>G66/F66</f>
        <v>3.4212407407407404</v>
      </c>
      <c r="K66" s="168">
        <f t="shared" si="0"/>
        <v>1.4898951612903224</v>
      </c>
      <c r="L66" s="169">
        <f t="shared" si="1"/>
        <v>12.149399999999996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170"/>
      <c r="E67" s="170"/>
      <c r="F67" s="171">
        <f>F68+F69+F70+F71+F72+F73+F74+F75+F76</f>
        <v>0</v>
      </c>
      <c r="G67" s="171">
        <f>G68+G69+G70+G71+G72+G73+G74+G75+G76</f>
        <v>-9.5702300000000005</v>
      </c>
      <c r="H67" s="172"/>
      <c r="I67" s="167">
        <f t="shared" si="2"/>
        <v>-9.5702300000000005</v>
      </c>
      <c r="J67" s="168">
        <v>0</v>
      </c>
      <c r="K67" s="168">
        <v>0</v>
      </c>
      <c r="L67" s="169">
        <f t="shared" si="1"/>
        <v>-9.5702300000000005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173"/>
      <c r="E68" s="173"/>
      <c r="F68" s="173">
        <v>0</v>
      </c>
      <c r="G68" s="176">
        <v>-2.62866</v>
      </c>
      <c r="H68" s="172"/>
      <c r="I68" s="167">
        <f t="shared" si="2"/>
        <v>-2.62866</v>
      </c>
      <c r="J68" s="168">
        <v>0</v>
      </c>
      <c r="K68" s="168">
        <v>0</v>
      </c>
      <c r="L68" s="169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173"/>
      <c r="E69" s="173"/>
      <c r="F69" s="173">
        <v>0</v>
      </c>
      <c r="G69" s="172">
        <v>3.3587199999999999</v>
      </c>
      <c r="H69" s="172"/>
      <c r="I69" s="167">
        <f t="shared" si="2"/>
        <v>3.3587199999999999</v>
      </c>
      <c r="J69" s="168">
        <v>0</v>
      </c>
      <c r="K69" s="168">
        <v>0</v>
      </c>
      <c r="L69" s="169">
        <f t="shared" si="1"/>
        <v>3.3587199999999999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173"/>
      <c r="E70" s="173"/>
      <c r="F70" s="173">
        <v>0</v>
      </c>
      <c r="G70" s="172">
        <v>0.48699999999999999</v>
      </c>
      <c r="H70" s="172"/>
      <c r="I70" s="167">
        <f t="shared" si="2"/>
        <v>0.48699999999999999</v>
      </c>
      <c r="J70" s="168">
        <v>0</v>
      </c>
      <c r="K70" s="168">
        <v>0</v>
      </c>
      <c r="L70" s="169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173"/>
      <c r="E71" s="173"/>
      <c r="F71" s="173">
        <v>0</v>
      </c>
      <c r="G71" s="172">
        <v>8.8174499999999991</v>
      </c>
      <c r="H71" s="172"/>
      <c r="I71" s="167">
        <f t="shared" si="2"/>
        <v>8.8174499999999991</v>
      </c>
      <c r="J71" s="168">
        <v>0</v>
      </c>
      <c r="K71" s="168">
        <v>0</v>
      </c>
      <c r="L71" s="169">
        <f t="shared" si="4"/>
        <v>8.8174499999999991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173"/>
      <c r="E72" s="173"/>
      <c r="F72" s="173">
        <v>0</v>
      </c>
      <c r="G72" s="172">
        <v>-10.11759</v>
      </c>
      <c r="H72" s="172"/>
      <c r="I72" s="167">
        <f t="shared" si="2"/>
        <v>-10.11759</v>
      </c>
      <c r="J72" s="168">
        <v>0</v>
      </c>
      <c r="K72" s="168">
        <v>0</v>
      </c>
      <c r="L72" s="169">
        <f t="shared" si="4"/>
        <v>-10.11759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173"/>
      <c r="E73" s="173"/>
      <c r="F73" s="173">
        <v>0</v>
      </c>
      <c r="G73" s="172">
        <v>-13.181979999999999</v>
      </c>
      <c r="H73" s="172"/>
      <c r="I73" s="167">
        <f t="shared" ref="I73:I120" si="5">G73-F73</f>
        <v>-13.181979999999999</v>
      </c>
      <c r="J73" s="168">
        <v>0</v>
      </c>
      <c r="K73" s="168">
        <v>0</v>
      </c>
      <c r="L73" s="169">
        <f t="shared" si="4"/>
        <v>-13.181979999999999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173"/>
      <c r="E74" s="173"/>
      <c r="F74" s="173">
        <v>0</v>
      </c>
      <c r="G74" s="172">
        <v>6.0999999999999999E-2</v>
      </c>
      <c r="H74" s="172"/>
      <c r="I74" s="167">
        <f t="shared" si="5"/>
        <v>6.0999999999999999E-2</v>
      </c>
      <c r="J74" s="168">
        <v>0</v>
      </c>
      <c r="K74" s="168">
        <v>0</v>
      </c>
      <c r="L74" s="169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173"/>
      <c r="E75" s="173"/>
      <c r="F75" s="173">
        <v>0</v>
      </c>
      <c r="G75" s="172">
        <v>3.6338300000000001</v>
      </c>
      <c r="H75" s="172"/>
      <c r="I75" s="167">
        <f t="shared" si="5"/>
        <v>3.6338300000000001</v>
      </c>
      <c r="J75" s="168">
        <v>0</v>
      </c>
      <c r="K75" s="168">
        <v>0</v>
      </c>
      <c r="L75" s="169">
        <f t="shared" si="4"/>
        <v>3.6338300000000001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173"/>
      <c r="E76" s="173"/>
      <c r="F76" s="173">
        <v>0</v>
      </c>
      <c r="G76" s="172"/>
      <c r="H76" s="172"/>
      <c r="I76" s="167">
        <f t="shared" si="5"/>
        <v>0</v>
      </c>
      <c r="J76" s="168">
        <v>0</v>
      </c>
      <c r="K76" s="168">
        <v>0</v>
      </c>
      <c r="L76" s="169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173"/>
      <c r="E77" s="171">
        <f>E79+E80+E78+E81</f>
        <v>121544.9</v>
      </c>
      <c r="F77" s="171">
        <f>F79+F80+F78+F81</f>
        <v>68938.399999999994</v>
      </c>
      <c r="G77" s="171">
        <f>G79+G80+G78+G81</f>
        <v>81082.637050000005</v>
      </c>
      <c r="H77" s="172"/>
      <c r="I77" s="167">
        <f t="shared" si="5"/>
        <v>12144.237050000011</v>
      </c>
      <c r="J77" s="168">
        <v>0</v>
      </c>
      <c r="K77" s="168">
        <f t="shared" ref="K77:K121" si="6">G77/E77</f>
        <v>0.66710028187114401</v>
      </c>
      <c r="L77" s="169">
        <f t="shared" si="4"/>
        <v>-40462.262949999989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173"/>
      <c r="E78" s="173">
        <v>0</v>
      </c>
      <c r="F78" s="173">
        <v>0</v>
      </c>
      <c r="G78" s="172">
        <v>8.5665499999999994</v>
      </c>
      <c r="H78" s="172"/>
      <c r="I78" s="167">
        <f t="shared" si="5"/>
        <v>8.5665499999999994</v>
      </c>
      <c r="J78" s="168">
        <v>0</v>
      </c>
      <c r="K78" s="168">
        <v>0</v>
      </c>
      <c r="L78" s="169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173"/>
      <c r="E79" s="173">
        <v>50570.9</v>
      </c>
      <c r="F79" s="173">
        <v>25258.400000000001</v>
      </c>
      <c r="G79" s="172">
        <v>29971.055990000001</v>
      </c>
      <c r="H79" s="172"/>
      <c r="I79" s="167">
        <f t="shared" si="5"/>
        <v>4712.6559899999993</v>
      </c>
      <c r="J79" s="168">
        <v>0</v>
      </c>
      <c r="K79" s="168">
        <f t="shared" si="6"/>
        <v>0.59265419421050447</v>
      </c>
      <c r="L79" s="169">
        <f t="shared" si="4"/>
        <v>-20599.844010000001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173"/>
      <c r="E80" s="173">
        <v>70974</v>
      </c>
      <c r="F80" s="173">
        <v>43680</v>
      </c>
      <c r="G80" s="172">
        <v>51098.31351</v>
      </c>
      <c r="H80" s="172"/>
      <c r="I80" s="167">
        <f t="shared" si="5"/>
        <v>7418.31351</v>
      </c>
      <c r="J80" s="168">
        <v>0</v>
      </c>
      <c r="K80" s="168">
        <f t="shared" si="6"/>
        <v>0.71995820314481362</v>
      </c>
      <c r="L80" s="169">
        <f t="shared" si="4"/>
        <v>-19875.68649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173"/>
      <c r="E81" s="173">
        <v>0</v>
      </c>
      <c r="F81" s="173">
        <v>0</v>
      </c>
      <c r="G81" s="172">
        <v>4.7009999999999996</v>
      </c>
      <c r="H81" s="172"/>
      <c r="I81" s="167">
        <f t="shared" si="5"/>
        <v>4.7009999999999996</v>
      </c>
      <c r="J81" s="168">
        <v>0</v>
      </c>
      <c r="K81" s="168">
        <v>0</v>
      </c>
      <c r="L81" s="169">
        <f t="shared" si="4"/>
        <v>4.7009999999999996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170"/>
      <c r="E82" s="170">
        <f>E83</f>
        <v>702.4</v>
      </c>
      <c r="F82" s="171">
        <f>F83</f>
        <v>337.1</v>
      </c>
      <c r="G82" s="171">
        <f>G83</f>
        <v>178.50491000000002</v>
      </c>
      <c r="H82" s="172"/>
      <c r="I82" s="167">
        <f t="shared" si="5"/>
        <v>-158.59509</v>
      </c>
      <c r="J82" s="168">
        <v>0</v>
      </c>
      <c r="K82" s="168">
        <v>0</v>
      </c>
      <c r="L82" s="169">
        <f t="shared" si="4"/>
        <v>-523.89508999999998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170"/>
      <c r="E83" s="170">
        <f>E84+E85+E86</f>
        <v>702.4</v>
      </c>
      <c r="F83" s="171">
        <f>F84+F85+F86</f>
        <v>337.1</v>
      </c>
      <c r="G83" s="171">
        <f>G84+G85+G86</f>
        <v>178.50491000000002</v>
      </c>
      <c r="H83" s="172"/>
      <c r="I83" s="167">
        <f t="shared" si="5"/>
        <v>-158.59509</v>
      </c>
      <c r="J83" s="168">
        <v>0</v>
      </c>
      <c r="K83" s="168">
        <v>0</v>
      </c>
      <c r="L83" s="169">
        <f t="shared" si="4"/>
        <v>-523.89508999999998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173"/>
      <c r="E84" s="173">
        <v>342.1</v>
      </c>
      <c r="F84" s="173">
        <v>164.1</v>
      </c>
      <c r="G84" s="172">
        <f>181.7744-36.35493</f>
        <v>145.41947000000002</v>
      </c>
      <c r="H84" s="172"/>
      <c r="I84" s="167">
        <f t="shared" si="5"/>
        <v>-18.680529999999976</v>
      </c>
      <c r="J84" s="168">
        <v>0</v>
      </c>
      <c r="K84" s="168">
        <v>0</v>
      </c>
      <c r="L84" s="169">
        <f t="shared" si="4"/>
        <v>-196.68053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173"/>
      <c r="E85" s="173">
        <v>243</v>
      </c>
      <c r="F85" s="173">
        <v>116.7</v>
      </c>
      <c r="G85" s="172">
        <f>0.13-0.026</f>
        <v>0.10400000000000001</v>
      </c>
      <c r="H85" s="172"/>
      <c r="I85" s="167">
        <f t="shared" si="5"/>
        <v>-116.596</v>
      </c>
      <c r="J85" s="168">
        <v>0</v>
      </c>
      <c r="K85" s="168">
        <v>0</v>
      </c>
      <c r="L85" s="169">
        <f t="shared" si="4"/>
        <v>-242.89599999999999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173"/>
      <c r="E86" s="173">
        <v>117.3</v>
      </c>
      <c r="F86" s="173">
        <v>56.3</v>
      </c>
      <c r="G86" s="172">
        <f>41.22681-8.24537</f>
        <v>32.981439999999999</v>
      </c>
      <c r="H86" s="172"/>
      <c r="I86" s="167">
        <f t="shared" si="5"/>
        <v>-23.318559999999998</v>
      </c>
      <c r="J86" s="168">
        <v>0</v>
      </c>
      <c r="K86" s="168">
        <v>0</v>
      </c>
      <c r="L86" s="169">
        <f t="shared" si="4"/>
        <v>-84.318559999999991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170">
        <v>18149.8</v>
      </c>
      <c r="E87" s="170">
        <v>18149.8</v>
      </c>
      <c r="F87" s="171">
        <f>F88+F95+F112</f>
        <v>6923.5000000000009</v>
      </c>
      <c r="G87" s="171">
        <f>G88+G95+G112</f>
        <v>12244.001990000001</v>
      </c>
      <c r="H87" s="171"/>
      <c r="I87" s="167">
        <f t="shared" si="5"/>
        <v>5320.5019899999998</v>
      </c>
      <c r="J87" s="168">
        <f t="shared" ref="J87:J121" si="7">G87/F87</f>
        <v>1.7684699920560409</v>
      </c>
      <c r="K87" s="168">
        <f t="shared" si="6"/>
        <v>0.67460809430406954</v>
      </c>
      <c r="L87" s="169">
        <f t="shared" si="4"/>
        <v>-5905.7980099999986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173">
        <v>1906.3</v>
      </c>
      <c r="E88" s="173">
        <v>1906.3</v>
      </c>
      <c r="F88" s="171">
        <f>F89+F92</f>
        <v>615.6</v>
      </c>
      <c r="G88" s="171">
        <f>G89+G92</f>
        <v>1140.1879799999999</v>
      </c>
      <c r="H88" s="172"/>
      <c r="I88" s="167">
        <f t="shared" si="5"/>
        <v>524.5879799999999</v>
      </c>
      <c r="J88" s="168">
        <f t="shared" si="7"/>
        <v>1.8521572124756334</v>
      </c>
      <c r="K88" s="168">
        <f t="shared" si="6"/>
        <v>0.5981157110633164</v>
      </c>
      <c r="L88" s="169">
        <f t="shared" si="4"/>
        <v>-766.11202000000003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173">
        <v>1277.3</v>
      </c>
      <c r="E89" s="173">
        <v>1277.3</v>
      </c>
      <c r="F89" s="172">
        <f>F91+F90</f>
        <v>371.6</v>
      </c>
      <c r="G89" s="172">
        <f>G91+G90</f>
        <v>988.07999999999993</v>
      </c>
      <c r="H89" s="172"/>
      <c r="I89" s="167">
        <f t="shared" si="5"/>
        <v>616.4799999999999</v>
      </c>
      <c r="J89" s="168">
        <f t="shared" si="7"/>
        <v>2.6589881593110869</v>
      </c>
      <c r="K89" s="168">
        <f t="shared" si="6"/>
        <v>0.77356924763172319</v>
      </c>
      <c r="L89" s="169">
        <f t="shared" si="4"/>
        <v>-289.22000000000003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173">
        <v>1277.3</v>
      </c>
      <c r="E90" s="173">
        <v>1277.3</v>
      </c>
      <c r="F90" s="173">
        <v>371.6</v>
      </c>
      <c r="G90" s="172">
        <v>808.68899999999996</v>
      </c>
      <c r="H90" s="172"/>
      <c r="I90" s="167">
        <f t="shared" si="5"/>
        <v>437.08899999999994</v>
      </c>
      <c r="J90" s="168">
        <f t="shared" si="7"/>
        <v>2.1762351991388589</v>
      </c>
      <c r="K90" s="168">
        <f t="shared" si="6"/>
        <v>0.63312377671651143</v>
      </c>
      <c r="L90" s="169">
        <f t="shared" si="4"/>
        <v>-468.61099999999999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173"/>
      <c r="E91" s="173"/>
      <c r="F91" s="173">
        <v>0</v>
      </c>
      <c r="G91" s="172">
        <v>179.39099999999999</v>
      </c>
      <c r="H91" s="172"/>
      <c r="I91" s="167">
        <f t="shared" si="5"/>
        <v>179.39099999999999</v>
      </c>
      <c r="J91" s="168">
        <v>0</v>
      </c>
      <c r="K91" s="168">
        <v>0</v>
      </c>
      <c r="L91" s="169">
        <f t="shared" si="4"/>
        <v>179.39099999999999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171">
        <f>D94+D93</f>
        <v>629</v>
      </c>
      <c r="E92" s="171">
        <f>E94+E93</f>
        <v>629</v>
      </c>
      <c r="F92" s="171">
        <f>F94+F93</f>
        <v>244</v>
      </c>
      <c r="G92" s="171">
        <f>G94+G93</f>
        <v>152.10798</v>
      </c>
      <c r="H92" s="172"/>
      <c r="I92" s="167">
        <f t="shared" si="5"/>
        <v>-91.892020000000002</v>
      </c>
      <c r="J92" s="168">
        <f t="shared" si="7"/>
        <v>0.62339336065573769</v>
      </c>
      <c r="K92" s="168">
        <f t="shared" si="6"/>
        <v>0.24182508744038156</v>
      </c>
      <c r="L92" s="169">
        <f t="shared" si="4"/>
        <v>-476.89202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173">
        <v>6.2</v>
      </c>
      <c r="E93" s="173">
        <v>6.2</v>
      </c>
      <c r="F93" s="172">
        <v>2</v>
      </c>
      <c r="G93" s="172">
        <v>0.48699999999999999</v>
      </c>
      <c r="H93" s="172"/>
      <c r="I93" s="167">
        <f t="shared" si="5"/>
        <v>-1.5129999999999999</v>
      </c>
      <c r="J93" s="168">
        <f t="shared" si="7"/>
        <v>0.24349999999999999</v>
      </c>
      <c r="K93" s="168">
        <f t="shared" si="6"/>
        <v>7.8548387096774183E-2</v>
      </c>
      <c r="L93" s="169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173">
        <v>622.79999999999995</v>
      </c>
      <c r="E94" s="173">
        <v>622.79999999999995</v>
      </c>
      <c r="F94" s="173">
        <v>242</v>
      </c>
      <c r="G94" s="172">
        <f>134.62098+17</f>
        <v>151.62098</v>
      </c>
      <c r="H94" s="172"/>
      <c r="I94" s="167">
        <f t="shared" si="5"/>
        <v>-90.379019999999997</v>
      </c>
      <c r="J94" s="168">
        <f t="shared" si="7"/>
        <v>0.62653297520661155</v>
      </c>
      <c r="K94" s="168">
        <f t="shared" si="6"/>
        <v>0.24345051380860633</v>
      </c>
      <c r="L94" s="169">
        <f t="shared" si="4"/>
        <v>-471.17901999999992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170">
        <v>16081.2</v>
      </c>
      <c r="E95" s="170">
        <v>16081.2</v>
      </c>
      <c r="F95" s="171">
        <f>F96+F105+F107</f>
        <v>6250.3</v>
      </c>
      <c r="G95" s="171">
        <f>G96+G105+G107</f>
        <v>11044.319219999999</v>
      </c>
      <c r="H95" s="172"/>
      <c r="I95" s="167">
        <f t="shared" si="5"/>
        <v>4794.0192199999992</v>
      </c>
      <c r="J95" s="168">
        <f t="shared" si="7"/>
        <v>1.7670062588995727</v>
      </c>
      <c r="K95" s="168">
        <f t="shared" si="6"/>
        <v>0.68678451981195421</v>
      </c>
      <c r="L95" s="169">
        <f t="shared" si="4"/>
        <v>-5036.8807800000013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177">
        <f>D99+D100+D101+D102+D103+D104+D98+D97</f>
        <v>10982.6</v>
      </c>
      <c r="E96" s="177">
        <f>E99+E100+E101+E102+E103+E104+E98+E97</f>
        <v>10982.6</v>
      </c>
      <c r="F96" s="177">
        <f>F99+F100+F101+F102+F103+F104+F98+F97</f>
        <v>4518.2</v>
      </c>
      <c r="G96" s="177">
        <f>G99+G100+G101+G102+G103+G104+G98+G97</f>
        <v>7908.6360400000003</v>
      </c>
      <c r="H96" s="172"/>
      <c r="I96" s="167">
        <f t="shared" si="5"/>
        <v>3390.4360400000005</v>
      </c>
      <c r="J96" s="168">
        <f t="shared" si="7"/>
        <v>1.7503952990128813</v>
      </c>
      <c r="K96" s="168">
        <f t="shared" si="6"/>
        <v>0.7201059894742593</v>
      </c>
      <c r="L96" s="169">
        <f t="shared" si="4"/>
        <v>-3073.96396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177">
        <v>5</v>
      </c>
      <c r="E97" s="177">
        <v>5</v>
      </c>
      <c r="F97" s="177">
        <v>0</v>
      </c>
      <c r="G97" s="177">
        <v>0</v>
      </c>
      <c r="H97" s="172"/>
      <c r="I97" s="167">
        <f t="shared" si="5"/>
        <v>0</v>
      </c>
      <c r="J97" s="168">
        <v>0</v>
      </c>
      <c r="K97" s="168">
        <f t="shared" si="6"/>
        <v>0</v>
      </c>
      <c r="L97" s="169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173">
        <v>2</v>
      </c>
      <c r="E98" s="173">
        <v>2</v>
      </c>
      <c r="F98" s="173">
        <v>1</v>
      </c>
      <c r="G98" s="172">
        <v>0.78</v>
      </c>
      <c r="H98" s="172"/>
      <c r="I98" s="167">
        <f t="shared" si="5"/>
        <v>-0.21999999999999997</v>
      </c>
      <c r="J98" s="168">
        <f t="shared" si="7"/>
        <v>0.78</v>
      </c>
      <c r="K98" s="168">
        <f t="shared" si="6"/>
        <v>0.39</v>
      </c>
      <c r="L98" s="169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173">
        <v>3.5</v>
      </c>
      <c r="E99" s="173">
        <v>3.5</v>
      </c>
      <c r="F99" s="173">
        <v>1.7</v>
      </c>
      <c r="G99" s="172">
        <v>3.9</v>
      </c>
      <c r="H99" s="172"/>
      <c r="I99" s="167">
        <f t="shared" si="5"/>
        <v>2.2000000000000002</v>
      </c>
      <c r="J99" s="168">
        <f t="shared" si="7"/>
        <v>2.2941176470588234</v>
      </c>
      <c r="K99" s="168">
        <f t="shared" si="6"/>
        <v>1.1142857142857143</v>
      </c>
      <c r="L99" s="169">
        <f t="shared" si="4"/>
        <v>0.39999999999999991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173">
        <v>120</v>
      </c>
      <c r="E100" s="173">
        <v>120</v>
      </c>
      <c r="F100" s="173">
        <v>62</v>
      </c>
      <c r="G100" s="172">
        <v>21.672999999999998</v>
      </c>
      <c r="H100" s="172"/>
      <c r="I100" s="167">
        <f t="shared" si="5"/>
        <v>-40.326999999999998</v>
      </c>
      <c r="J100" s="168">
        <f t="shared" si="7"/>
        <v>0.34956451612903222</v>
      </c>
      <c r="K100" s="168">
        <f t="shared" si="6"/>
        <v>0.18060833333333332</v>
      </c>
      <c r="L100" s="169">
        <f t="shared" si="4"/>
        <v>-98.326999999999998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173">
        <v>2000</v>
      </c>
      <c r="E101" s="173">
        <v>2000</v>
      </c>
      <c r="F101" s="173">
        <v>1000</v>
      </c>
      <c r="G101" s="172">
        <v>1001.235</v>
      </c>
      <c r="H101" s="172"/>
      <c r="I101" s="167">
        <f t="shared" si="5"/>
        <v>1.2350000000000136</v>
      </c>
      <c r="J101" s="168">
        <f t="shared" si="7"/>
        <v>1.0012350000000001</v>
      </c>
      <c r="K101" s="168">
        <f t="shared" si="6"/>
        <v>0.50061750000000005</v>
      </c>
      <c r="L101" s="169">
        <f t="shared" si="4"/>
        <v>-998.76499999999999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173">
        <v>7878.1</v>
      </c>
      <c r="E102" s="173">
        <v>7878.1</v>
      </c>
      <c r="F102" s="173">
        <v>3090</v>
      </c>
      <c r="G102" s="172">
        <v>3004.1635500000002</v>
      </c>
      <c r="H102" s="172"/>
      <c r="I102" s="167">
        <f t="shared" si="5"/>
        <v>-85.836449999999786</v>
      </c>
      <c r="J102" s="168">
        <f t="shared" si="7"/>
        <v>0.97222121359223312</v>
      </c>
      <c r="K102" s="168">
        <f t="shared" si="6"/>
        <v>0.38133097447354058</v>
      </c>
      <c r="L102" s="169">
        <f t="shared" si="4"/>
        <v>-4873.9364500000001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173">
        <v>974</v>
      </c>
      <c r="E103" s="173">
        <v>974</v>
      </c>
      <c r="F103" s="173">
        <v>363.5</v>
      </c>
      <c r="G103" s="172">
        <v>333.19463000000002</v>
      </c>
      <c r="H103" s="172"/>
      <c r="I103" s="167">
        <f t="shared" si="5"/>
        <v>-30.305369999999982</v>
      </c>
      <c r="J103" s="168">
        <f t="shared" si="7"/>
        <v>0.91662896836313623</v>
      </c>
      <c r="K103" s="168">
        <f t="shared" si="6"/>
        <v>0.3420889425051335</v>
      </c>
      <c r="L103" s="169">
        <f t="shared" si="4"/>
        <v>-640.80537000000004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173"/>
      <c r="E104" s="173">
        <v>0</v>
      </c>
      <c r="F104" s="173">
        <v>0</v>
      </c>
      <c r="G104" s="172">
        <v>3543.68986</v>
      </c>
      <c r="H104" s="172"/>
      <c r="I104" s="167">
        <f t="shared" si="5"/>
        <v>3543.68986</v>
      </c>
      <c r="J104" s="168">
        <v>0</v>
      </c>
      <c r="K104" s="168">
        <v>0</v>
      </c>
      <c r="L104" s="169">
        <f t="shared" si="4"/>
        <v>3543.68986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170">
        <v>4496.8</v>
      </c>
      <c r="E105" s="170">
        <v>4496.8</v>
      </c>
      <c r="F105" s="174">
        <f>F106</f>
        <v>1580</v>
      </c>
      <c r="G105" s="174">
        <f>G106</f>
        <v>1919.0432600000001</v>
      </c>
      <c r="H105" s="172"/>
      <c r="I105" s="167">
        <f t="shared" si="5"/>
        <v>339.04326000000015</v>
      </c>
      <c r="J105" s="168">
        <f t="shared" si="7"/>
        <v>1.214584341772152</v>
      </c>
      <c r="K105" s="168">
        <f t="shared" si="6"/>
        <v>0.42675752979896819</v>
      </c>
      <c r="L105" s="169">
        <f t="shared" si="4"/>
        <v>-2577.7567399999998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173">
        <v>4496.8</v>
      </c>
      <c r="E106" s="173">
        <v>4496.8</v>
      </c>
      <c r="F106" s="173">
        <v>1580</v>
      </c>
      <c r="G106" s="172">
        <f>1714.76673+204.27653</f>
        <v>1919.0432600000001</v>
      </c>
      <c r="H106" s="172"/>
      <c r="I106" s="167">
        <f t="shared" si="5"/>
        <v>339.04326000000015</v>
      </c>
      <c r="J106" s="168">
        <f t="shared" si="7"/>
        <v>1.214584341772152</v>
      </c>
      <c r="K106" s="168">
        <f t="shared" si="6"/>
        <v>0.42675752979896819</v>
      </c>
      <c r="L106" s="169">
        <f t="shared" si="4"/>
        <v>-2577.7567399999998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175">
        <v>601.79999999999995</v>
      </c>
      <c r="E107" s="175">
        <v>601.79999999999995</v>
      </c>
      <c r="F107" s="174">
        <f>F108+F109+F110+F111</f>
        <v>152.1</v>
      </c>
      <c r="G107" s="174">
        <f>G108+G109+G110+G111</f>
        <v>1216.6399200000001</v>
      </c>
      <c r="H107" s="172"/>
      <c r="I107" s="167">
        <f t="shared" si="5"/>
        <v>1064.5399200000002</v>
      </c>
      <c r="J107" s="168">
        <f t="shared" si="7"/>
        <v>7.9989475345167662</v>
      </c>
      <c r="K107" s="168">
        <f t="shared" si="6"/>
        <v>2.021668195413759</v>
      </c>
      <c r="L107" s="169">
        <f t="shared" si="4"/>
        <v>614.83992000000012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173">
        <v>549</v>
      </c>
      <c r="E108" s="173">
        <v>549</v>
      </c>
      <c r="F108" s="173">
        <v>132.5</v>
      </c>
      <c r="G108" s="172">
        <v>140.27237</v>
      </c>
      <c r="H108" s="172"/>
      <c r="I108" s="167">
        <f t="shared" si="5"/>
        <v>7.7723699999999951</v>
      </c>
      <c r="J108" s="168">
        <f t="shared" si="7"/>
        <v>1.058659396226415</v>
      </c>
      <c r="K108" s="168">
        <f t="shared" si="6"/>
        <v>0.25550522768670308</v>
      </c>
      <c r="L108" s="169">
        <f t="shared" si="4"/>
        <v>-408.72762999999998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173">
        <v>0</v>
      </c>
      <c r="E109" s="173">
        <v>0</v>
      </c>
      <c r="F109" s="173">
        <v>0</v>
      </c>
      <c r="G109" s="172">
        <v>236.91739000000001</v>
      </c>
      <c r="H109" s="172"/>
      <c r="I109" s="167">
        <f t="shared" si="5"/>
        <v>236.91739000000001</v>
      </c>
      <c r="J109" s="168">
        <v>0</v>
      </c>
      <c r="K109" s="168">
        <v>0</v>
      </c>
      <c r="L109" s="169">
        <f t="shared" si="4"/>
        <v>236.91739000000001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173">
        <v>0</v>
      </c>
      <c r="E110" s="173">
        <v>0</v>
      </c>
      <c r="F110" s="173">
        <v>0</v>
      </c>
      <c r="G110" s="172">
        <v>18.036269999999998</v>
      </c>
      <c r="H110" s="172"/>
      <c r="I110" s="167">
        <f t="shared" si="5"/>
        <v>18.036269999999998</v>
      </c>
      <c r="J110" s="168">
        <v>0</v>
      </c>
      <c r="K110" s="168">
        <v>0</v>
      </c>
      <c r="L110" s="169">
        <f t="shared" si="4"/>
        <v>18.036269999999998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173">
        <v>52.8</v>
      </c>
      <c r="E111" s="173">
        <v>52.8</v>
      </c>
      <c r="F111" s="173">
        <v>19.600000000000001</v>
      </c>
      <c r="G111" s="172">
        <v>821.41389000000004</v>
      </c>
      <c r="H111" s="172"/>
      <c r="I111" s="167">
        <f t="shared" si="5"/>
        <v>801.81389000000001</v>
      </c>
      <c r="J111" s="168">
        <f t="shared" si="7"/>
        <v>41.908871938775512</v>
      </c>
      <c r="K111" s="168">
        <f t="shared" si="6"/>
        <v>15.557081250000001</v>
      </c>
      <c r="L111" s="169">
        <f t="shared" si="4"/>
        <v>768.61389000000008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175">
        <v>162.30000000000001</v>
      </c>
      <c r="E112" s="175">
        <v>162.30000000000001</v>
      </c>
      <c r="F112" s="174">
        <f>F114+F113</f>
        <v>57.6</v>
      </c>
      <c r="G112" s="174">
        <f>G114+G113</f>
        <v>59.494790000000002</v>
      </c>
      <c r="H112" s="177"/>
      <c r="I112" s="167">
        <f t="shared" si="5"/>
        <v>1.8947900000000004</v>
      </c>
      <c r="J112" s="168">
        <f t="shared" si="7"/>
        <v>1.0328956597222223</v>
      </c>
      <c r="K112" s="168">
        <f t="shared" si="6"/>
        <v>0.3665729513247073</v>
      </c>
      <c r="L112" s="169">
        <f t="shared" si="4"/>
        <v>-102.80521000000002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173">
        <v>20</v>
      </c>
      <c r="E113" s="173">
        <v>20</v>
      </c>
      <c r="F113" s="173">
        <v>0</v>
      </c>
      <c r="G113" s="172">
        <v>0</v>
      </c>
      <c r="H113" s="172"/>
      <c r="I113" s="167">
        <f t="shared" si="5"/>
        <v>0</v>
      </c>
      <c r="J113" s="168">
        <v>0</v>
      </c>
      <c r="K113" s="168">
        <f t="shared" si="6"/>
        <v>0</v>
      </c>
      <c r="L113" s="169">
        <f t="shared" si="4"/>
        <v>-20</v>
      </c>
      <c r="M113" s="25"/>
      <c r="N113" s="12"/>
      <c r="O113" s="12"/>
    </row>
    <row r="114" spans="1:15" s="13" customFormat="1" ht="64.5" x14ac:dyDescent="0.45">
      <c r="A114" s="38"/>
      <c r="B114" s="35">
        <v>24060000</v>
      </c>
      <c r="C114" s="45" t="s">
        <v>118</v>
      </c>
      <c r="D114" s="173">
        <v>142.30000000000001</v>
      </c>
      <c r="E114" s="173">
        <v>142.30000000000001</v>
      </c>
      <c r="F114" s="172">
        <f>F115</f>
        <v>57.6</v>
      </c>
      <c r="G114" s="172">
        <f>G115</f>
        <v>59.494790000000002</v>
      </c>
      <c r="H114" s="172"/>
      <c r="I114" s="167">
        <f t="shared" si="5"/>
        <v>1.8947900000000004</v>
      </c>
      <c r="J114" s="168">
        <f t="shared" si="7"/>
        <v>1.0328956597222223</v>
      </c>
      <c r="K114" s="168">
        <f t="shared" si="6"/>
        <v>0.41809409697821504</v>
      </c>
      <c r="L114" s="169">
        <f t="shared" si="4"/>
        <v>-82.805210000000017</v>
      </c>
      <c r="M114" s="25"/>
      <c r="N114" s="12"/>
      <c r="O114" s="12"/>
    </row>
    <row r="115" spans="1:15" s="13" customFormat="1" ht="64.5" x14ac:dyDescent="0.45">
      <c r="A115" s="38"/>
      <c r="B115" s="35">
        <v>24060300</v>
      </c>
      <c r="C115" s="45" t="s">
        <v>119</v>
      </c>
      <c r="D115" s="178">
        <v>142.30000000000001</v>
      </c>
      <c r="E115" s="178">
        <v>142.30000000000001</v>
      </c>
      <c r="F115" s="178">
        <v>57.6</v>
      </c>
      <c r="G115" s="179">
        <v>59.494790000000002</v>
      </c>
      <c r="H115" s="172"/>
      <c r="I115" s="167">
        <f t="shared" si="5"/>
        <v>1.8947900000000004</v>
      </c>
      <c r="J115" s="168">
        <f t="shared" si="7"/>
        <v>1.0328956597222223</v>
      </c>
      <c r="K115" s="168">
        <f t="shared" si="6"/>
        <v>0.41809409697821504</v>
      </c>
      <c r="L115" s="169">
        <f t="shared" si="4"/>
        <v>-82.805210000000017</v>
      </c>
      <c r="M115" s="25"/>
      <c r="N115" s="12"/>
      <c r="O115" s="12"/>
    </row>
    <row r="116" spans="1:15" s="13" customFormat="1" ht="64.5" x14ac:dyDescent="0.45">
      <c r="A116" s="38"/>
      <c r="B116" s="39">
        <v>30000000</v>
      </c>
      <c r="C116" s="49" t="s">
        <v>120</v>
      </c>
      <c r="D116" s="170">
        <v>48.4</v>
      </c>
      <c r="E116" s="170">
        <v>48.4</v>
      </c>
      <c r="F116" s="171">
        <f>F117</f>
        <v>23</v>
      </c>
      <c r="G116" s="171">
        <f>G117</f>
        <v>13.117800000000001</v>
      </c>
      <c r="H116" s="180"/>
      <c r="I116" s="167">
        <f t="shared" si="5"/>
        <v>-9.8821999999999992</v>
      </c>
      <c r="J116" s="168">
        <f t="shared" si="7"/>
        <v>0.57033913043478268</v>
      </c>
      <c r="K116" s="168">
        <f t="shared" si="6"/>
        <v>0.27102892561983472</v>
      </c>
      <c r="L116" s="169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181">
        <v>48.4</v>
      </c>
      <c r="E117" s="181">
        <v>48.4</v>
      </c>
      <c r="F117" s="182">
        <f>F118</f>
        <v>23</v>
      </c>
      <c r="G117" s="182">
        <f>G118</f>
        <v>13.117800000000001</v>
      </c>
      <c r="H117" s="172"/>
      <c r="I117" s="167">
        <f t="shared" si="5"/>
        <v>-9.8821999999999992</v>
      </c>
      <c r="J117" s="168">
        <f t="shared" si="7"/>
        <v>0.57033913043478268</v>
      </c>
      <c r="K117" s="168">
        <f t="shared" si="6"/>
        <v>0.27102892561983472</v>
      </c>
      <c r="L117" s="169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183">
        <v>48.4</v>
      </c>
      <c r="E118" s="183">
        <v>48.4</v>
      </c>
      <c r="F118" s="183">
        <v>23</v>
      </c>
      <c r="G118" s="184">
        <v>13.117800000000001</v>
      </c>
      <c r="H118" s="184"/>
      <c r="I118" s="167">
        <f t="shared" si="5"/>
        <v>-9.8821999999999992</v>
      </c>
      <c r="J118" s="168">
        <f t="shared" si="7"/>
        <v>0.57033913043478268</v>
      </c>
      <c r="K118" s="168">
        <f t="shared" si="6"/>
        <v>0.27102892561983472</v>
      </c>
      <c r="L118" s="169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182"/>
      <c r="E119" s="182"/>
      <c r="F119" s="182"/>
      <c r="G119" s="182"/>
      <c r="H119" s="182"/>
      <c r="I119" s="167">
        <f t="shared" si="5"/>
        <v>0</v>
      </c>
      <c r="J119" s="168" t="e">
        <f t="shared" si="7"/>
        <v>#DIV/0!</v>
      </c>
      <c r="K119" s="168" t="e">
        <f t="shared" si="6"/>
        <v>#DIV/0!</v>
      </c>
      <c r="L119" s="169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79"/>
      <c r="E120" s="179"/>
      <c r="F120" s="179"/>
      <c r="G120" s="185"/>
      <c r="H120" s="185"/>
      <c r="I120" s="186">
        <f t="shared" si="5"/>
        <v>0</v>
      </c>
      <c r="J120" s="187" t="e">
        <f t="shared" si="7"/>
        <v>#DIV/0!</v>
      </c>
      <c r="K120" s="187" t="e">
        <f t="shared" si="6"/>
        <v>#DIV/0!</v>
      </c>
      <c r="L120" s="188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189">
        <v>1096783</v>
      </c>
      <c r="E121" s="190">
        <f>E5+E87+E116</f>
        <v>1393427.7999999998</v>
      </c>
      <c r="F121" s="190">
        <f>F5+F87+F116</f>
        <v>631129.5</v>
      </c>
      <c r="G121" s="190">
        <f>G5+G87+G116</f>
        <v>656642.02585000009</v>
      </c>
      <c r="H121" s="191"/>
      <c r="I121" s="192">
        <f>G121-F121</f>
        <v>25512.525850000093</v>
      </c>
      <c r="J121" s="193">
        <f t="shared" si="7"/>
        <v>1.0404235990394999</v>
      </c>
      <c r="K121" s="193">
        <f t="shared" si="6"/>
        <v>0.47124223145971406</v>
      </c>
      <c r="L121" s="194">
        <f>G121-E121</f>
        <v>-736785.77414999972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zoomScale="30" zoomScaleNormal="50" zoomScaleSheetLayoutView="30" workbookViewId="0">
      <selection activeCell="G121" sqref="G121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">
      <c r="A1" s="1"/>
      <c r="B1" s="2"/>
      <c r="C1" s="212" t="s">
        <v>144</v>
      </c>
      <c r="D1" s="212"/>
      <c r="E1" s="212"/>
      <c r="F1" s="212"/>
      <c r="G1" s="212"/>
      <c r="H1" s="212"/>
      <c r="I1" s="212"/>
      <c r="J1" s="213"/>
      <c r="K1" s="213"/>
      <c r="L1" s="213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139</v>
      </c>
      <c r="G3" s="10" t="s">
        <v>7</v>
      </c>
      <c r="H3" s="11" t="s">
        <v>7</v>
      </c>
      <c r="I3" s="197" t="s">
        <v>141</v>
      </c>
      <c r="J3" s="197" t="s">
        <v>140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42139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9">
        <v>1078584.8</v>
      </c>
      <c r="E5" s="148">
        <f>E6+E31+E44+E46+E49+E82</f>
        <v>1375229.5999999999</v>
      </c>
      <c r="F5" s="148">
        <f>F6+F31+F44+F46+F49+F82</f>
        <v>624183</v>
      </c>
      <c r="G5" s="148">
        <f>G6+G31+G44+G46+G49+G82</f>
        <v>618904.43498000002</v>
      </c>
      <c r="H5" s="21"/>
      <c r="I5" s="28">
        <f>G5-F5</f>
        <v>-5278.56501999998</v>
      </c>
      <c r="J5" s="151">
        <f>G5/F5</f>
        <v>0.9915432412930183</v>
      </c>
      <c r="K5" s="151">
        <f>G5/E5</f>
        <v>0.45003716832447477</v>
      </c>
      <c r="L5" s="152">
        <f>G5-E5</f>
        <v>-756325.16501999984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9">
        <v>705340.9</v>
      </c>
      <c r="E6" s="148">
        <f>E7+E13</f>
        <v>770266.4</v>
      </c>
      <c r="F6" s="148">
        <f>F7+F13</f>
        <v>361888.9</v>
      </c>
      <c r="G6" s="148">
        <f>G7+G13</f>
        <v>379432.48664999998</v>
      </c>
      <c r="H6" s="21"/>
      <c r="I6" s="28">
        <f>G6-F6</f>
        <v>17543.586649999954</v>
      </c>
      <c r="J6" s="151">
        <f>G6/F6</f>
        <v>1.0484778246859738</v>
      </c>
      <c r="K6" s="151">
        <f t="shared" ref="K6:K66" si="0">G6/E6</f>
        <v>0.49259903670989669</v>
      </c>
      <c r="L6" s="152">
        <f t="shared" ref="L6:L69" si="1">G6-E6</f>
        <v>-390833.91335000005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32">
        <f>(SUM([1]Голосіїв!O12))/1000</f>
        <v>704381.4</v>
      </c>
      <c r="E7" s="125">
        <f>E8+E9+E11+E12+E10</f>
        <v>704381.4</v>
      </c>
      <c r="F7" s="125">
        <f>F8+F9+F11+F12+F10</f>
        <v>301600</v>
      </c>
      <c r="G7" s="125">
        <f>G8+G9+G11+G12+G10</f>
        <v>296608.79269999999</v>
      </c>
      <c r="H7" s="66">
        <f>('[1]класифікація (2011)'!C8-'[1]класифікація (2011)'!C12-'[1]класифікація (2011)'!C24)/1000</f>
        <v>93520.299014999997</v>
      </c>
      <c r="I7" s="28">
        <f>G7-F7</f>
        <v>-4991.2073000000091</v>
      </c>
      <c r="J7" s="151">
        <f>G7/F7</f>
        <v>0.98345090417771885</v>
      </c>
      <c r="K7" s="151">
        <f t="shared" si="0"/>
        <v>0.42109117688229697</v>
      </c>
      <c r="L7" s="152">
        <f t="shared" si="1"/>
        <v>-407772.60730000003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37">
        <v>631281.4</v>
      </c>
      <c r="E8" s="37">
        <v>631281.4</v>
      </c>
      <c r="F8" s="37">
        <v>270800</v>
      </c>
      <c r="G8" s="66">
        <f>673326.30112-403995.78074</f>
        <v>269330.52037999994</v>
      </c>
      <c r="H8" s="66"/>
      <c r="I8" s="28">
        <f t="shared" ref="I8:I72" si="2">G8-F8</f>
        <v>-1469.4796200000565</v>
      </c>
      <c r="J8" s="151">
        <f>G8/F8</f>
        <v>0.99457356122599683</v>
      </c>
      <c r="K8" s="151">
        <f t="shared" si="0"/>
        <v>0.42664098828192931</v>
      </c>
      <c r="L8" s="152">
        <f t="shared" si="1"/>
        <v>-361950.87962000008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37">
        <v>7200</v>
      </c>
      <c r="E9" s="37">
        <v>7200</v>
      </c>
      <c r="F9" s="37">
        <v>3300</v>
      </c>
      <c r="G9" s="66">
        <f>6716.78932-4030.07361</f>
        <v>2686.7157099999999</v>
      </c>
      <c r="H9" s="66"/>
      <c r="I9" s="28">
        <f t="shared" si="2"/>
        <v>-613.28429000000006</v>
      </c>
      <c r="J9" s="151">
        <f>G9/F9</f>
        <v>0.81415627575757576</v>
      </c>
      <c r="K9" s="151">
        <f t="shared" si="0"/>
        <v>0.37315495972222223</v>
      </c>
      <c r="L9" s="152">
        <f t="shared" si="1"/>
        <v>-4513.2842899999996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37">
        <v>0</v>
      </c>
      <c r="E10" s="37">
        <v>0</v>
      </c>
      <c r="F10" s="37">
        <v>0</v>
      </c>
      <c r="G10" s="66">
        <f>0.51891-0.31134</f>
        <v>0.20756999999999998</v>
      </c>
      <c r="H10" s="66"/>
      <c r="I10" s="28">
        <f t="shared" si="2"/>
        <v>0.20756999999999998</v>
      </c>
      <c r="J10" s="151">
        <v>0</v>
      </c>
      <c r="K10" s="151">
        <v>0</v>
      </c>
      <c r="L10" s="152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37">
        <v>40000</v>
      </c>
      <c r="E11" s="37">
        <v>40000</v>
      </c>
      <c r="F11" s="37">
        <v>19200</v>
      </c>
      <c r="G11" s="66">
        <f>46769.63452-28061.7807</f>
        <v>18707.85382</v>
      </c>
      <c r="H11" s="66"/>
      <c r="I11" s="28">
        <f t="shared" si="2"/>
        <v>-492.14617999999973</v>
      </c>
      <c r="J11" s="151">
        <f>G11/F11</f>
        <v>0.97436738645833332</v>
      </c>
      <c r="K11" s="151">
        <f t="shared" si="0"/>
        <v>0.4676963455</v>
      </c>
      <c r="L11" s="152">
        <f t="shared" si="1"/>
        <v>-21292.14618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37">
        <v>25900</v>
      </c>
      <c r="E12" s="37">
        <v>25900</v>
      </c>
      <c r="F12" s="37">
        <v>8300</v>
      </c>
      <c r="G12" s="66">
        <f>14708.73803-8825.24281</f>
        <v>5883.4952200000007</v>
      </c>
      <c r="H12" s="66"/>
      <c r="I12" s="28">
        <f t="shared" si="2"/>
        <v>-2416.5047799999993</v>
      </c>
      <c r="J12" s="151">
        <f>G12/F12</f>
        <v>0.70885484578313263</v>
      </c>
      <c r="K12" s="151">
        <f t="shared" si="0"/>
        <v>0.22716197760617762</v>
      </c>
      <c r="L12" s="152">
        <f t="shared" si="1"/>
        <v>-20016.504779999999</v>
      </c>
      <c r="M12" s="25"/>
      <c r="N12" s="12"/>
      <c r="O12" s="12"/>
    </row>
    <row r="13" spans="1:15" s="13" customFormat="1" ht="61.5" x14ac:dyDescent="0.45">
      <c r="A13" s="38"/>
      <c r="B13" s="39">
        <v>11020000</v>
      </c>
      <c r="C13" s="31" t="s">
        <v>20</v>
      </c>
      <c r="D13" s="32">
        <v>959.5</v>
      </c>
      <c r="E13" s="125">
        <f>E14+E15+E23+E16+E17+E18+E19+E20+E21+E22+E24+E25+E26+E27+E28+E29+E30</f>
        <v>65885</v>
      </c>
      <c r="F13" s="125">
        <f>F14+F15+F23+F16+F17+F18+F19+F20+F21+F22+F24+F25+F26+F27+F28+F29+F30</f>
        <v>60288.9</v>
      </c>
      <c r="G13" s="125">
        <f>G14+G15+G23+G16+G17+G18+G19+G20+G21+G22+G24+G25+G26+G27+G28+G29+G30</f>
        <v>82823.693950000015</v>
      </c>
      <c r="H13" s="66"/>
      <c r="I13" s="28">
        <f t="shared" si="2"/>
        <v>22534.793950000014</v>
      </c>
      <c r="J13" s="151">
        <f>G13/F13</f>
        <v>1.3737801477552254</v>
      </c>
      <c r="K13" s="151">
        <f t="shared" si="0"/>
        <v>1.2570948463231391</v>
      </c>
      <c r="L13" s="152">
        <f t="shared" si="1"/>
        <v>16938.693950000015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37">
        <v>487.5</v>
      </c>
      <c r="E14" s="37">
        <v>487.5</v>
      </c>
      <c r="F14" s="37">
        <v>201.4</v>
      </c>
      <c r="G14" s="66">
        <v>181.46366</v>
      </c>
      <c r="H14" s="66"/>
      <c r="I14" s="28">
        <f t="shared" si="2"/>
        <v>-19.936340000000001</v>
      </c>
      <c r="J14" s="151">
        <f>G14/F14</f>
        <v>0.90101122144985102</v>
      </c>
      <c r="K14" s="151">
        <f t="shared" si="0"/>
        <v>0.37223314871794871</v>
      </c>
      <c r="L14" s="152">
        <f t="shared" si="1"/>
        <v>-306.03634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37"/>
      <c r="E15" s="37"/>
      <c r="F15" s="37">
        <v>0</v>
      </c>
      <c r="G15" s="66">
        <v>97.692999999999998</v>
      </c>
      <c r="H15" s="66"/>
      <c r="I15" s="28">
        <f t="shared" si="2"/>
        <v>97.692999999999998</v>
      </c>
      <c r="J15" s="151">
        <v>0</v>
      </c>
      <c r="K15" s="151">
        <v>0</v>
      </c>
      <c r="L15" s="152">
        <f t="shared" si="1"/>
        <v>97.692999999999998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37"/>
      <c r="E16" s="37">
        <v>5851.3</v>
      </c>
      <c r="F16" s="37">
        <v>5851.3</v>
      </c>
      <c r="G16" s="66">
        <f>184122.93073-165710.63765</f>
        <v>18412.293080000003</v>
      </c>
      <c r="H16" s="66"/>
      <c r="I16" s="28">
        <f t="shared" si="2"/>
        <v>12560.993080000004</v>
      </c>
      <c r="J16" s="151">
        <v>0</v>
      </c>
      <c r="K16" s="151">
        <f t="shared" si="0"/>
        <v>3.1467012595491606</v>
      </c>
      <c r="L16" s="152">
        <f t="shared" si="1"/>
        <v>12560.993080000004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37"/>
      <c r="E17" s="37">
        <v>7205.9</v>
      </c>
      <c r="F17" s="37">
        <v>7205.9</v>
      </c>
      <c r="G17" s="66">
        <f>54295.61022-48866.04911</f>
        <v>5429.5611100000024</v>
      </c>
      <c r="H17" s="66"/>
      <c r="I17" s="28">
        <f t="shared" si="2"/>
        <v>-1776.3388899999973</v>
      </c>
      <c r="J17" s="151">
        <v>0</v>
      </c>
      <c r="K17" s="151">
        <f t="shared" si="0"/>
        <v>0.75348826794709922</v>
      </c>
      <c r="L17" s="152">
        <f t="shared" si="1"/>
        <v>-1776.3388899999973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37"/>
      <c r="E18" s="37">
        <v>3343.9</v>
      </c>
      <c r="F18" s="37">
        <v>1630.8</v>
      </c>
      <c r="G18" s="66">
        <f>7293.25034-6563.92531</f>
        <v>729.32502999999997</v>
      </c>
      <c r="H18" s="66"/>
      <c r="I18" s="28">
        <f t="shared" si="2"/>
        <v>-901.47496999999998</v>
      </c>
      <c r="J18" s="151">
        <v>0</v>
      </c>
      <c r="K18" s="151">
        <f t="shared" si="0"/>
        <v>0.21810611262298513</v>
      </c>
      <c r="L18" s="152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37"/>
      <c r="E19" s="37">
        <v>652.20000000000005</v>
      </c>
      <c r="F19" s="37">
        <v>318.10000000000002</v>
      </c>
      <c r="G19" s="66">
        <f>19112.8697-17201.58272</f>
        <v>1911.2869800000008</v>
      </c>
      <c r="H19" s="66"/>
      <c r="I19" s="28">
        <f t="shared" si="2"/>
        <v>1593.1869800000009</v>
      </c>
      <c r="J19" s="151">
        <v>0</v>
      </c>
      <c r="K19" s="151">
        <f t="shared" si="0"/>
        <v>2.9305228150873974</v>
      </c>
      <c r="L19" s="152">
        <f t="shared" si="1"/>
        <v>1259.0869800000007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37"/>
      <c r="E20" s="37">
        <v>56</v>
      </c>
      <c r="F20" s="37">
        <v>27.3</v>
      </c>
      <c r="G20" s="66">
        <f>1215.4129-1093.8716</f>
        <v>121.54130000000009</v>
      </c>
      <c r="H20" s="66"/>
      <c r="I20" s="28">
        <f t="shared" si="2"/>
        <v>94.241300000000095</v>
      </c>
      <c r="J20" s="151">
        <v>0</v>
      </c>
      <c r="K20" s="151">
        <f t="shared" si="0"/>
        <v>2.1703803571428586</v>
      </c>
      <c r="L20" s="152">
        <f t="shared" si="1"/>
        <v>65.541300000000092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37"/>
      <c r="E21" s="37">
        <v>8307.2999999999993</v>
      </c>
      <c r="F21" s="37">
        <v>8307.2999999999993</v>
      </c>
      <c r="G21" s="66">
        <f>148965.54423-134068.9897</f>
        <v>14896.554529999994</v>
      </c>
      <c r="H21" s="66"/>
      <c r="I21" s="28">
        <f t="shared" si="2"/>
        <v>6589.2545299999947</v>
      </c>
      <c r="J21" s="151">
        <v>0</v>
      </c>
      <c r="K21" s="151">
        <f t="shared" si="0"/>
        <v>1.7931884643626683</v>
      </c>
      <c r="L21" s="152">
        <f t="shared" si="1"/>
        <v>6589.2545299999947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37"/>
      <c r="E22" s="37">
        <v>54.3</v>
      </c>
      <c r="F22" s="37">
        <v>26.5</v>
      </c>
      <c r="G22" s="66">
        <f>1815.13166-1633.6185</f>
        <v>181.51315999999997</v>
      </c>
      <c r="H22" s="66"/>
      <c r="I22" s="28">
        <f t="shared" si="2"/>
        <v>155.01315999999997</v>
      </c>
      <c r="J22" s="151">
        <v>0</v>
      </c>
      <c r="K22" s="151">
        <f t="shared" si="0"/>
        <v>3.3427837937384894</v>
      </c>
      <c r="L22" s="152">
        <f t="shared" si="1"/>
        <v>127.21315999999997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37">
        <v>472</v>
      </c>
      <c r="E23" s="37">
        <v>472</v>
      </c>
      <c r="F23" s="37">
        <v>194</v>
      </c>
      <c r="G23" s="66">
        <f>147.851+2.628</f>
        <v>150.47899999999998</v>
      </c>
      <c r="H23" s="66"/>
      <c r="I23" s="28">
        <f t="shared" si="2"/>
        <v>-43.521000000000015</v>
      </c>
      <c r="J23" s="151">
        <f>G23/F23</f>
        <v>0.77566494845360812</v>
      </c>
      <c r="K23" s="151">
        <f t="shared" si="0"/>
        <v>0.31881144067796607</v>
      </c>
      <c r="L23" s="152">
        <f t="shared" si="1"/>
        <v>-321.52100000000002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37"/>
      <c r="E24" s="37">
        <v>16819.900000000001</v>
      </c>
      <c r="F24" s="37">
        <v>16819.900000000001</v>
      </c>
      <c r="G24" s="66">
        <f>138190.57169-124371.51452</f>
        <v>13819.057170000015</v>
      </c>
      <c r="H24" s="66"/>
      <c r="I24" s="28">
        <f t="shared" si="2"/>
        <v>-3000.8428299999869</v>
      </c>
      <c r="J24" s="151">
        <v>0</v>
      </c>
      <c r="K24" s="151">
        <f t="shared" si="0"/>
        <v>0.8215897341839139</v>
      </c>
      <c r="L24" s="152">
        <f t="shared" si="1"/>
        <v>-3000.8428299999869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37"/>
      <c r="E25" s="37">
        <v>345.5</v>
      </c>
      <c r="F25" s="37">
        <v>168.5</v>
      </c>
      <c r="G25" s="66">
        <f>4312.894-3881.6046</f>
        <v>431.28940000000011</v>
      </c>
      <c r="H25" s="66"/>
      <c r="I25" s="28">
        <f t="shared" si="2"/>
        <v>262.78940000000011</v>
      </c>
      <c r="J25" s="151">
        <v>0</v>
      </c>
      <c r="K25" s="151">
        <f t="shared" si="0"/>
        <v>1.2483050651230105</v>
      </c>
      <c r="L25" s="152">
        <f t="shared" si="1"/>
        <v>85.789400000000114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37"/>
      <c r="E26" s="37">
        <v>3254.6</v>
      </c>
      <c r="F26" s="37">
        <v>3254.6</v>
      </c>
      <c r="G26" s="66">
        <f>159710.75926-143739.68333</f>
        <v>15971.075929999992</v>
      </c>
      <c r="H26" s="66"/>
      <c r="I26" s="28">
        <f t="shared" si="2"/>
        <v>12716.475929999991</v>
      </c>
      <c r="J26" s="151">
        <v>0</v>
      </c>
      <c r="K26" s="151">
        <f t="shared" si="0"/>
        <v>4.9072315891353755</v>
      </c>
      <c r="L26" s="152">
        <f t="shared" si="1"/>
        <v>12716.475929999991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37"/>
      <c r="E27" s="37">
        <v>1964.8</v>
      </c>
      <c r="F27" s="37">
        <v>958.3</v>
      </c>
      <c r="G27" s="66">
        <f>25563.57253-23007.21528</f>
        <v>2556.3572500000009</v>
      </c>
      <c r="H27" s="66"/>
      <c r="I27" s="28">
        <f t="shared" si="2"/>
        <v>1598.057250000001</v>
      </c>
      <c r="J27" s="151">
        <v>0</v>
      </c>
      <c r="K27" s="151">
        <f t="shared" si="0"/>
        <v>1.3010775905944632</v>
      </c>
      <c r="L27" s="152">
        <f t="shared" si="1"/>
        <v>591.55725000000098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37"/>
      <c r="E28" s="37">
        <v>11.6</v>
      </c>
      <c r="F28" s="37">
        <v>5.6</v>
      </c>
      <c r="G28" s="66">
        <f>0.18041-0.16237</f>
        <v>1.804E-2</v>
      </c>
      <c r="H28" s="66"/>
      <c r="I28" s="28">
        <f t="shared" si="2"/>
        <v>-5.5819599999999996</v>
      </c>
      <c r="J28" s="151">
        <v>0</v>
      </c>
      <c r="K28" s="151">
        <f t="shared" si="0"/>
        <v>1.5551724137931036E-3</v>
      </c>
      <c r="L28" s="152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37"/>
      <c r="E29" s="37">
        <v>17007.3</v>
      </c>
      <c r="F29" s="37">
        <v>15294.6</v>
      </c>
      <c r="G29" s="66">
        <f>78679.45461-70811.5091</f>
        <v>7867.945510000005</v>
      </c>
      <c r="H29" s="66"/>
      <c r="I29" s="28">
        <f t="shared" si="2"/>
        <v>-7426.6544899999953</v>
      </c>
      <c r="J29" s="151">
        <v>0</v>
      </c>
      <c r="K29" s="151">
        <f t="shared" si="0"/>
        <v>0.4626216689304008</v>
      </c>
      <c r="L29" s="152">
        <f t="shared" si="1"/>
        <v>-9139.3544899999943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37"/>
      <c r="E30" s="37">
        <v>50.9</v>
      </c>
      <c r="F30" s="37">
        <v>24.8</v>
      </c>
      <c r="G30" s="66">
        <f>662.398-596.1582</f>
        <v>66.239800000000059</v>
      </c>
      <c r="H30" s="66"/>
      <c r="I30" s="28">
        <f t="shared" si="2"/>
        <v>41.439800000000062</v>
      </c>
      <c r="J30" s="151">
        <v>0</v>
      </c>
      <c r="K30" s="151">
        <f t="shared" si="0"/>
        <v>1.3013713163064844</v>
      </c>
      <c r="L30" s="152">
        <f t="shared" si="1"/>
        <v>15.339800000000061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32">
        <v>7626.9</v>
      </c>
      <c r="E31" s="125">
        <f>E32+E34+E39+E42</f>
        <v>7626.9</v>
      </c>
      <c r="F31" s="125">
        <f>F32+F34+F39+F42</f>
        <v>3187.3999999999996</v>
      </c>
      <c r="G31" s="125">
        <f>G32+G34+G39+G42</f>
        <v>7630.6339400000006</v>
      </c>
      <c r="H31" s="66"/>
      <c r="I31" s="28">
        <f t="shared" si="2"/>
        <v>4443.233940000001</v>
      </c>
      <c r="J31" s="151">
        <f>G31/F31</f>
        <v>2.3939994791993477</v>
      </c>
      <c r="K31" s="151">
        <f t="shared" si="0"/>
        <v>1.0004895750567073</v>
      </c>
      <c r="L31" s="152">
        <f t="shared" si="1"/>
        <v>3.7339400000009846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37">
        <v>0</v>
      </c>
      <c r="E32" s="37"/>
      <c r="F32" s="37">
        <v>0</v>
      </c>
      <c r="G32" s="147">
        <f>G33</f>
        <v>26.96754</v>
      </c>
      <c r="H32" s="66"/>
      <c r="I32" s="28">
        <f t="shared" si="2"/>
        <v>26.96754</v>
      </c>
      <c r="J32" s="151">
        <v>0</v>
      </c>
      <c r="K32" s="151">
        <v>0</v>
      </c>
      <c r="L32" s="152">
        <f t="shared" si="1"/>
        <v>26.96754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37">
        <v>0</v>
      </c>
      <c r="E33" s="37"/>
      <c r="F33" s="37">
        <v>0</v>
      </c>
      <c r="G33" s="66">
        <v>26.96754</v>
      </c>
      <c r="H33" s="66"/>
      <c r="I33" s="28">
        <f t="shared" si="2"/>
        <v>26.96754</v>
      </c>
      <c r="J33" s="151">
        <v>0</v>
      </c>
      <c r="K33" s="151">
        <v>0</v>
      </c>
      <c r="L33" s="152">
        <f t="shared" si="1"/>
        <v>26.96754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43">
        <v>6555.9</v>
      </c>
      <c r="E34" s="43">
        <v>6555.9</v>
      </c>
      <c r="F34" s="147">
        <f>F35+F36+F37+F38</f>
        <v>2460.1</v>
      </c>
      <c r="G34" s="147">
        <f>G35+G36+G37+G38</f>
        <v>7503.8534000000009</v>
      </c>
      <c r="H34" s="66"/>
      <c r="I34" s="28">
        <f t="shared" si="2"/>
        <v>5043.7534000000014</v>
      </c>
      <c r="J34" s="151">
        <f>G34/F34</f>
        <v>3.050222917767571</v>
      </c>
      <c r="K34" s="151">
        <f t="shared" si="0"/>
        <v>1.1445954636281825</v>
      </c>
      <c r="L34" s="152">
        <f t="shared" si="1"/>
        <v>947.95340000000124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37">
        <v>6555.4</v>
      </c>
      <c r="E35" s="37">
        <v>6555.4</v>
      </c>
      <c r="F35" s="37">
        <v>2460</v>
      </c>
      <c r="G35" s="66">
        <f>15005.31196-7502.65606</f>
        <v>7502.6559000000007</v>
      </c>
      <c r="H35" s="66"/>
      <c r="I35" s="28">
        <f t="shared" si="2"/>
        <v>5042.6559000000007</v>
      </c>
      <c r="J35" s="151">
        <f>G35/F35</f>
        <v>3.0498601219512196</v>
      </c>
      <c r="K35" s="151">
        <f t="shared" si="0"/>
        <v>1.1445000915275958</v>
      </c>
      <c r="L35" s="152">
        <f t="shared" si="1"/>
        <v>947.25590000000102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37">
        <v>0.5</v>
      </c>
      <c r="E36" s="37">
        <v>0.5</v>
      </c>
      <c r="F36" s="37">
        <v>0.1</v>
      </c>
      <c r="G36" s="66">
        <v>0.31818000000000002</v>
      </c>
      <c r="H36" s="66"/>
      <c r="I36" s="28">
        <f t="shared" si="2"/>
        <v>0.21818000000000001</v>
      </c>
      <c r="J36" s="151">
        <f>G36/F36</f>
        <v>3.1818</v>
      </c>
      <c r="K36" s="151">
        <f t="shared" si="0"/>
        <v>0.63636000000000004</v>
      </c>
      <c r="L36" s="152">
        <f t="shared" si="1"/>
        <v>-0.18181999999999998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37"/>
      <c r="E37" s="37"/>
      <c r="F37" s="37">
        <v>0</v>
      </c>
      <c r="G37" s="66">
        <f>0.91706-0.45853</f>
        <v>0.45852999999999999</v>
      </c>
      <c r="H37" s="66"/>
      <c r="I37" s="28">
        <f t="shared" si="2"/>
        <v>0.45852999999999999</v>
      </c>
      <c r="J37" s="151">
        <v>0</v>
      </c>
      <c r="K37" s="151">
        <v>0</v>
      </c>
      <c r="L37" s="152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37"/>
      <c r="E38" s="37"/>
      <c r="F38" s="37">
        <v>0</v>
      </c>
      <c r="G38" s="66">
        <f>0.84158-0.42079</f>
        <v>0.42079</v>
      </c>
      <c r="H38" s="66"/>
      <c r="I38" s="28">
        <f t="shared" si="2"/>
        <v>0.42079</v>
      </c>
      <c r="J38" s="151">
        <v>0</v>
      </c>
      <c r="K38" s="151">
        <v>0</v>
      </c>
      <c r="L38" s="152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32">
        <v>1070.8</v>
      </c>
      <c r="E39" s="32">
        <v>1070.8</v>
      </c>
      <c r="F39" s="125">
        <f>F41+F40</f>
        <v>727.1</v>
      </c>
      <c r="G39" s="125">
        <f>G41+G40</f>
        <v>99.530889999999999</v>
      </c>
      <c r="H39" s="66"/>
      <c r="I39" s="28">
        <f t="shared" si="2"/>
        <v>-627.56911000000002</v>
      </c>
      <c r="J39" s="151">
        <f>G39/F39</f>
        <v>0.13688748452757529</v>
      </c>
      <c r="K39" s="151">
        <f t="shared" si="0"/>
        <v>9.2950028016436315E-2</v>
      </c>
      <c r="L39" s="152">
        <f t="shared" si="1"/>
        <v>-971.26910999999996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37">
        <v>165.8</v>
      </c>
      <c r="E40" s="37">
        <v>165.8</v>
      </c>
      <c r="F40" s="37">
        <v>42.1</v>
      </c>
      <c r="G40" s="66">
        <f>163.66447-122.7483</f>
        <v>40.916169999999994</v>
      </c>
      <c r="H40" s="66"/>
      <c r="I40" s="28">
        <f t="shared" si="2"/>
        <v>-1.1838300000000075</v>
      </c>
      <c r="J40" s="151">
        <f>G40/F40</f>
        <v>0.97188052256532054</v>
      </c>
      <c r="K40" s="151">
        <f t="shared" si="0"/>
        <v>0.24678027744270201</v>
      </c>
      <c r="L40" s="152">
        <f t="shared" si="1"/>
        <v>-124.88383000000002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37">
        <v>905</v>
      </c>
      <c r="E41" s="37">
        <v>905</v>
      </c>
      <c r="F41" s="37">
        <v>685</v>
      </c>
      <c r="G41" s="66">
        <v>58.614719999999998</v>
      </c>
      <c r="H41" s="66"/>
      <c r="I41" s="28">
        <f t="shared" si="2"/>
        <v>-626.38527999999997</v>
      </c>
      <c r="J41" s="151">
        <f>G41/F41</f>
        <v>8.5568934306569339E-2</v>
      </c>
      <c r="K41" s="151">
        <f t="shared" si="0"/>
        <v>6.476764640883978E-2</v>
      </c>
      <c r="L41" s="152">
        <f t="shared" si="1"/>
        <v>-846.38527999999997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32">
        <v>0.2</v>
      </c>
      <c r="E42" s="32">
        <v>0.2</v>
      </c>
      <c r="F42" s="147">
        <f>F43</f>
        <v>0.2</v>
      </c>
      <c r="G42" s="147">
        <f>G43</f>
        <v>0.28211000000000003</v>
      </c>
      <c r="H42" s="66"/>
      <c r="I42" s="28">
        <f t="shared" si="2"/>
        <v>8.2110000000000016E-2</v>
      </c>
      <c r="J42" s="151">
        <f>G42/F42</f>
        <v>1.41055</v>
      </c>
      <c r="K42" s="151">
        <f t="shared" si="0"/>
        <v>1.41055</v>
      </c>
      <c r="L42" s="152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37"/>
      <c r="E43" s="37"/>
      <c r="F43" s="37">
        <v>0.2</v>
      </c>
      <c r="G43" s="66">
        <v>0.28211000000000003</v>
      </c>
      <c r="H43" s="66"/>
      <c r="I43" s="28">
        <f t="shared" si="2"/>
        <v>8.2110000000000016E-2</v>
      </c>
      <c r="J43" s="151">
        <f>G43/F43</f>
        <v>1.41055</v>
      </c>
      <c r="K43" s="151">
        <v>0</v>
      </c>
      <c r="L43" s="152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32"/>
      <c r="E44" s="125">
        <f>E45</f>
        <v>89700</v>
      </c>
      <c r="F44" s="125">
        <f>F45</f>
        <v>34300</v>
      </c>
      <c r="G44" s="125">
        <f>G45</f>
        <v>32478.81926</v>
      </c>
      <c r="H44" s="66"/>
      <c r="I44" s="28">
        <f t="shared" si="2"/>
        <v>-1821.1807399999998</v>
      </c>
      <c r="J44" s="151">
        <v>0</v>
      </c>
      <c r="K44" s="151">
        <f t="shared" si="0"/>
        <v>0.36208271192865105</v>
      </c>
      <c r="L44" s="152">
        <f t="shared" si="1"/>
        <v>-57221.180739999996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37"/>
      <c r="E45" s="37">
        <v>89700</v>
      </c>
      <c r="F45" s="37">
        <v>34300</v>
      </c>
      <c r="G45" s="66">
        <v>32478.81926</v>
      </c>
      <c r="H45" s="66"/>
      <c r="I45" s="28">
        <f t="shared" si="2"/>
        <v>-1821.1807399999998</v>
      </c>
      <c r="J45" s="151">
        <v>0</v>
      </c>
      <c r="K45" s="151">
        <f t="shared" si="0"/>
        <v>0.36208271192865105</v>
      </c>
      <c r="L45" s="152">
        <f t="shared" si="1"/>
        <v>-57221.180739999996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32"/>
      <c r="E46" s="32">
        <v>0</v>
      </c>
      <c r="F46" s="125">
        <f>F48</f>
        <v>0</v>
      </c>
      <c r="G46" s="125">
        <f>G48</f>
        <v>3.3585799999999999</v>
      </c>
      <c r="H46" s="66"/>
      <c r="I46" s="28">
        <f t="shared" si="2"/>
        <v>3.3585799999999999</v>
      </c>
      <c r="J46" s="151">
        <v>0</v>
      </c>
      <c r="K46" s="151">
        <v>0</v>
      </c>
      <c r="L46" s="152">
        <f t="shared" si="1"/>
        <v>3.3585799999999999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32"/>
      <c r="E47" s="32">
        <v>0</v>
      </c>
      <c r="F47" s="125">
        <f>F48</f>
        <v>0</v>
      </c>
      <c r="G47" s="125">
        <f>G48</f>
        <v>3.3585799999999999</v>
      </c>
      <c r="H47" s="66"/>
      <c r="I47" s="28">
        <f t="shared" si="2"/>
        <v>3.3585799999999999</v>
      </c>
      <c r="J47" s="151">
        <v>0</v>
      </c>
      <c r="K47" s="151">
        <v>0</v>
      </c>
      <c r="L47" s="152">
        <f t="shared" si="1"/>
        <v>3.3585799999999999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37">
        <v>0</v>
      </c>
      <c r="E48" s="37">
        <v>0</v>
      </c>
      <c r="F48" s="37">
        <v>0</v>
      </c>
      <c r="G48" s="66">
        <v>3.3585799999999999</v>
      </c>
      <c r="H48" s="66"/>
      <c r="I48" s="28">
        <f t="shared" si="2"/>
        <v>3.3585799999999999</v>
      </c>
      <c r="J48" s="151">
        <v>0</v>
      </c>
      <c r="K48" s="151">
        <v>0</v>
      </c>
      <c r="L48" s="152">
        <f t="shared" si="1"/>
        <v>3.3585799999999999</v>
      </c>
      <c r="M48" s="25"/>
      <c r="N48" s="12"/>
      <c r="O48" s="12"/>
    </row>
    <row r="49" spans="1:15" s="13" customFormat="1" ht="61.5" x14ac:dyDescent="0.45">
      <c r="A49" s="38"/>
      <c r="B49" s="39">
        <v>18000000</v>
      </c>
      <c r="C49" s="40" t="s">
        <v>56</v>
      </c>
      <c r="D49" s="32">
        <v>365617</v>
      </c>
      <c r="E49" s="125">
        <f>E50+E62+E64+E67+E77</f>
        <v>506933.89999999991</v>
      </c>
      <c r="F49" s="125">
        <f>F50+F62+F64+F67+F77</f>
        <v>224469.6</v>
      </c>
      <c r="G49" s="125">
        <f>G50+G62+G64+G67+G77</f>
        <v>199198.37105999998</v>
      </c>
      <c r="H49" s="66"/>
      <c r="I49" s="28">
        <f t="shared" si="2"/>
        <v>-25271.22894000003</v>
      </c>
      <c r="J49" s="151">
        <f>G49/F49</f>
        <v>0.88741803371146899</v>
      </c>
      <c r="K49" s="151">
        <f t="shared" si="0"/>
        <v>0.39294742580837466</v>
      </c>
      <c r="L49" s="152">
        <f t="shared" si="1"/>
        <v>-307735.52893999993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37">
        <v>360978.2</v>
      </c>
      <c r="E50" s="66">
        <f>E51+E52+E53+E54+E55+E56+E57+E58+E60+E59</f>
        <v>380750.19999999995</v>
      </c>
      <c r="F50" s="66">
        <f>F51+F52+F53+F54+F55+F56+F57+F58+F60+F59</f>
        <v>154410</v>
      </c>
      <c r="G50" s="66">
        <f>G51+G52+G53+G54+G55+G56+G57+G58+G60+G59</f>
        <v>126425.88792999998</v>
      </c>
      <c r="H50" s="66"/>
      <c r="I50" s="28">
        <f t="shared" si="2"/>
        <v>-27984.112070000017</v>
      </c>
      <c r="J50" s="151">
        <f>G50/F50</f>
        <v>0.81876748869891836</v>
      </c>
      <c r="K50" s="151">
        <f t="shared" si="0"/>
        <v>0.3320441799636612</v>
      </c>
      <c r="L50" s="152">
        <f t="shared" si="1"/>
        <v>-254324.31206999999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37">
        <v>0</v>
      </c>
      <c r="E51" s="37">
        <v>1951</v>
      </c>
      <c r="F51" s="37">
        <v>1951</v>
      </c>
      <c r="G51" s="66">
        <v>942.58389999999997</v>
      </c>
      <c r="H51" s="66"/>
      <c r="I51" s="28">
        <f t="shared" si="2"/>
        <v>-1008.4161</v>
      </c>
      <c r="J51" s="151">
        <v>0</v>
      </c>
      <c r="K51" s="151">
        <f t="shared" si="0"/>
        <v>0.48312860071758074</v>
      </c>
      <c r="L51" s="152">
        <f t="shared" si="1"/>
        <v>-1008.4161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37">
        <v>0</v>
      </c>
      <c r="E52" s="37">
        <v>1315</v>
      </c>
      <c r="F52" s="37">
        <v>0</v>
      </c>
      <c r="G52" s="66">
        <v>-1.23821</v>
      </c>
      <c r="H52" s="66"/>
      <c r="I52" s="28">
        <f t="shared" si="2"/>
        <v>-1.23821</v>
      </c>
      <c r="J52" s="151">
        <v>0</v>
      </c>
      <c r="K52" s="151">
        <f t="shared" si="0"/>
        <v>-9.4160456273764258E-4</v>
      </c>
      <c r="L52" s="152">
        <f t="shared" si="1"/>
        <v>-1316.23821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37">
        <v>0</v>
      </c>
      <c r="E53" s="37">
        <v>0</v>
      </c>
      <c r="F53" s="37">
        <v>0</v>
      </c>
      <c r="G53" s="66">
        <v>11.216810000000001</v>
      </c>
      <c r="H53" s="66"/>
      <c r="I53" s="28">
        <f t="shared" si="2"/>
        <v>11.216810000000001</v>
      </c>
      <c r="J53" s="151">
        <v>0</v>
      </c>
      <c r="K53" s="151">
        <v>0</v>
      </c>
      <c r="L53" s="152">
        <f t="shared" si="1"/>
        <v>11.216810000000001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37">
        <v>0</v>
      </c>
      <c r="E54" s="37">
        <v>8105</v>
      </c>
      <c r="F54" s="37">
        <v>8105</v>
      </c>
      <c r="G54" s="66">
        <v>7118.3620000000001</v>
      </c>
      <c r="H54" s="66"/>
      <c r="I54" s="28">
        <f t="shared" si="2"/>
        <v>-986.63799999999992</v>
      </c>
      <c r="J54" s="151">
        <v>0</v>
      </c>
      <c r="K54" s="151">
        <f t="shared" si="0"/>
        <v>0.87826798272671192</v>
      </c>
      <c r="L54" s="152">
        <f t="shared" si="1"/>
        <v>-986.63799999999992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37">
        <v>115874</v>
      </c>
      <c r="E55" s="37">
        <v>115874</v>
      </c>
      <c r="F55" s="37">
        <v>42022</v>
      </c>
      <c r="G55" s="66">
        <v>34712.116580000002</v>
      </c>
      <c r="H55" s="66"/>
      <c r="I55" s="28">
        <f t="shared" si="2"/>
        <v>-7309.8834199999983</v>
      </c>
      <c r="J55" s="151">
        <f>G55/F55</f>
        <v>0.82604627528437491</v>
      </c>
      <c r="K55" s="151">
        <f t="shared" si="0"/>
        <v>0.2995677768955935</v>
      </c>
      <c r="L55" s="152">
        <f t="shared" si="1"/>
        <v>-81161.883419999998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37">
        <v>234996.8</v>
      </c>
      <c r="E56" s="37">
        <v>234996.8</v>
      </c>
      <c r="F56" s="37">
        <v>97550</v>
      </c>
      <c r="G56" s="66">
        <v>80366.013869999995</v>
      </c>
      <c r="H56" s="66"/>
      <c r="I56" s="28">
        <f t="shared" si="2"/>
        <v>-17183.986130000005</v>
      </c>
      <c r="J56" s="151">
        <f>G56/F56</f>
        <v>0.82384432465402357</v>
      </c>
      <c r="K56" s="151">
        <f t="shared" si="0"/>
        <v>0.34198769459839451</v>
      </c>
      <c r="L56" s="152">
        <f t="shared" si="1"/>
        <v>-154630.78612999999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37">
        <v>6136.6</v>
      </c>
      <c r="E57" s="37">
        <v>6136.6</v>
      </c>
      <c r="F57" s="37">
        <v>1295</v>
      </c>
      <c r="G57" s="66">
        <v>975.83807000000002</v>
      </c>
      <c r="H57" s="66"/>
      <c r="I57" s="28">
        <f t="shared" si="2"/>
        <v>-319.16192999999998</v>
      </c>
      <c r="J57" s="151">
        <f>G57/F57</f>
        <v>0.75354291119691119</v>
      </c>
      <c r="K57" s="151">
        <f t="shared" si="0"/>
        <v>0.15901933806994101</v>
      </c>
      <c r="L57" s="152">
        <f t="shared" si="1"/>
        <v>-5160.7619300000006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37">
        <v>3970.8</v>
      </c>
      <c r="E58" s="37">
        <v>3970.8</v>
      </c>
      <c r="F58" s="37">
        <v>733</v>
      </c>
      <c r="G58" s="66">
        <v>568.42639999999994</v>
      </c>
      <c r="H58" s="66"/>
      <c r="I58" s="28">
        <f t="shared" si="2"/>
        <v>-164.57360000000006</v>
      </c>
      <c r="J58" s="151">
        <f>G58/F58</f>
        <v>0.77547939972714863</v>
      </c>
      <c r="K58" s="151">
        <f t="shared" si="0"/>
        <v>0.14315160672912258</v>
      </c>
      <c r="L58" s="152">
        <f t="shared" si="1"/>
        <v>-3402.3736000000004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37">
        <v>0</v>
      </c>
      <c r="E59" s="37">
        <v>5647</v>
      </c>
      <c r="F59" s="37">
        <v>0</v>
      </c>
      <c r="G59" s="66">
        <v>0</v>
      </c>
      <c r="H59" s="66"/>
      <c r="I59" s="28">
        <f t="shared" si="2"/>
        <v>0</v>
      </c>
      <c r="J59" s="151">
        <v>0</v>
      </c>
      <c r="K59" s="151">
        <f t="shared" si="0"/>
        <v>0</v>
      </c>
      <c r="L59" s="152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37">
        <v>0</v>
      </c>
      <c r="E60" s="37">
        <v>2754</v>
      </c>
      <c r="F60" s="37">
        <v>2754</v>
      </c>
      <c r="G60" s="66">
        <v>1732.5685100000001</v>
      </c>
      <c r="H60" s="66"/>
      <c r="I60" s="28">
        <f t="shared" si="2"/>
        <v>-1021.4314899999999</v>
      </c>
      <c r="J60" s="151">
        <v>0</v>
      </c>
      <c r="K60" s="151">
        <f t="shared" si="0"/>
        <v>0.62910984386347135</v>
      </c>
      <c r="L60" s="152">
        <f t="shared" si="1"/>
        <v>-1021.4314899999999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25">
        <f t="shared" ref="D61:E61" si="3">D62+D63</f>
        <v>4098.6000000000004</v>
      </c>
      <c r="E61" s="125">
        <f t="shared" si="3"/>
        <v>4098.6000000000004</v>
      </c>
      <c r="F61" s="125">
        <f>F62+F63</f>
        <v>990</v>
      </c>
      <c r="G61" s="125">
        <f>G62</f>
        <v>432.36926999999997</v>
      </c>
      <c r="H61" s="125"/>
      <c r="I61" s="28">
        <f t="shared" si="2"/>
        <v>-557.63073000000009</v>
      </c>
      <c r="J61" s="151">
        <f>G61/F61</f>
        <v>0.43673663636363635</v>
      </c>
      <c r="K61" s="151">
        <f t="shared" si="0"/>
        <v>0.10549194115063679</v>
      </c>
      <c r="L61" s="152">
        <f t="shared" si="1"/>
        <v>-3666.2307300000002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37">
        <v>4098.6000000000004</v>
      </c>
      <c r="E62" s="37">
        <v>4098.6000000000004</v>
      </c>
      <c r="F62" s="37">
        <v>990</v>
      </c>
      <c r="G62" s="66">
        <v>432.36926999999997</v>
      </c>
      <c r="H62" s="66"/>
      <c r="I62" s="28">
        <f t="shared" si="2"/>
        <v>-557.63073000000009</v>
      </c>
      <c r="J62" s="151">
        <f>G62/F62</f>
        <v>0.43673663636363635</v>
      </c>
      <c r="K62" s="151">
        <f t="shared" si="0"/>
        <v>0.10549194115063679</v>
      </c>
      <c r="L62" s="152">
        <f t="shared" si="1"/>
        <v>-3666.2307300000002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37">
        <v>0</v>
      </c>
      <c r="E63" s="37">
        <v>0</v>
      </c>
      <c r="F63" s="37">
        <v>0</v>
      </c>
      <c r="G63" s="66">
        <v>0</v>
      </c>
      <c r="H63" s="66"/>
      <c r="I63" s="28">
        <f t="shared" si="2"/>
        <v>0</v>
      </c>
      <c r="J63" s="151"/>
      <c r="K63" s="151">
        <v>0</v>
      </c>
      <c r="L63" s="152">
        <f t="shared" si="1"/>
        <v>0</v>
      </c>
      <c r="M63" s="25"/>
      <c r="N63" s="12"/>
      <c r="O63" s="12"/>
    </row>
    <row r="64" spans="1:15" s="13" customFormat="1" ht="61.5" x14ac:dyDescent="0.45">
      <c r="A64" s="38"/>
      <c r="B64" s="30">
        <v>18030000</v>
      </c>
      <c r="C64" s="31" t="s">
        <v>68</v>
      </c>
      <c r="D64" s="32">
        <v>540.20000000000005</v>
      </c>
      <c r="E64" s="32">
        <v>540.20000000000005</v>
      </c>
      <c r="F64" s="125">
        <f>F65+F66</f>
        <v>131.20000000000002</v>
      </c>
      <c r="G64" s="125">
        <f>G65+G66</f>
        <v>180.01168999999999</v>
      </c>
      <c r="H64" s="66"/>
      <c r="I64" s="28">
        <f t="shared" si="2"/>
        <v>48.81168999999997</v>
      </c>
      <c r="J64" s="151">
        <f>G64/F64</f>
        <v>1.3720403201219509</v>
      </c>
      <c r="K64" s="151">
        <f t="shared" si="0"/>
        <v>0.33323156238430207</v>
      </c>
      <c r="L64" s="152">
        <f t="shared" si="1"/>
        <v>-360.18831000000006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37">
        <v>515.4</v>
      </c>
      <c r="E65" s="37">
        <v>515.4</v>
      </c>
      <c r="F65" s="37">
        <v>120.4</v>
      </c>
      <c r="G65" s="66">
        <v>161.04026999999999</v>
      </c>
      <c r="H65" s="66"/>
      <c r="I65" s="28">
        <f t="shared" si="2"/>
        <v>40.640269999999987</v>
      </c>
      <c r="J65" s="151">
        <f>G65/F65</f>
        <v>1.3375437707641196</v>
      </c>
      <c r="K65" s="151">
        <f t="shared" si="0"/>
        <v>0.31245686845168802</v>
      </c>
      <c r="L65" s="152">
        <f t="shared" si="1"/>
        <v>-354.35973000000001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37">
        <v>24.8</v>
      </c>
      <c r="E66" s="37">
        <v>24.8</v>
      </c>
      <c r="F66" s="37">
        <v>10.8</v>
      </c>
      <c r="G66" s="66">
        <v>18.971419999999998</v>
      </c>
      <c r="H66" s="66"/>
      <c r="I66" s="28">
        <f t="shared" si="2"/>
        <v>8.1714199999999977</v>
      </c>
      <c r="J66" s="151">
        <f>G66/F66</f>
        <v>1.7566129629629628</v>
      </c>
      <c r="K66" s="151">
        <f t="shared" si="0"/>
        <v>0.76497661290322572</v>
      </c>
      <c r="L66" s="152">
        <f t="shared" si="1"/>
        <v>-5.8285800000000023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32"/>
      <c r="E67" s="32"/>
      <c r="F67" s="125">
        <f>F68+F69+F70+F71+F72+F73+F74+F75+F76</f>
        <v>0</v>
      </c>
      <c r="G67" s="125">
        <f>G68+G69+G70+G71+G72+G73+G74+G75+G76</f>
        <v>2.7183099999999998</v>
      </c>
      <c r="H67" s="66"/>
      <c r="I67" s="28">
        <f t="shared" si="2"/>
        <v>2.7183099999999998</v>
      </c>
      <c r="J67" s="151">
        <v>0</v>
      </c>
      <c r="K67" s="151">
        <v>0</v>
      </c>
      <c r="L67" s="152">
        <f t="shared" si="1"/>
        <v>2.7183099999999998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37"/>
      <c r="E68" s="37"/>
      <c r="F68" s="37">
        <v>0</v>
      </c>
      <c r="G68" s="153">
        <v>-2.62866</v>
      </c>
      <c r="H68" s="66"/>
      <c r="I68" s="28">
        <f t="shared" si="2"/>
        <v>-2.62866</v>
      </c>
      <c r="J68" s="151">
        <v>0</v>
      </c>
      <c r="K68" s="151">
        <v>0</v>
      </c>
      <c r="L68" s="152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37"/>
      <c r="E69" s="37"/>
      <c r="F69" s="37">
        <v>0</v>
      </c>
      <c r="G69" s="66">
        <v>6.5446499999999999</v>
      </c>
      <c r="H69" s="66"/>
      <c r="I69" s="28">
        <f t="shared" si="2"/>
        <v>6.5446499999999999</v>
      </c>
      <c r="J69" s="151">
        <v>0</v>
      </c>
      <c r="K69" s="151">
        <v>0</v>
      </c>
      <c r="L69" s="152">
        <f t="shared" si="1"/>
        <v>6.5446499999999999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37"/>
      <c r="E70" s="37"/>
      <c r="F70" s="37">
        <v>0</v>
      </c>
      <c r="G70" s="66">
        <v>0.48699999999999999</v>
      </c>
      <c r="H70" s="66"/>
      <c r="I70" s="28">
        <f t="shared" si="2"/>
        <v>0.48699999999999999</v>
      </c>
      <c r="J70" s="151">
        <v>0</v>
      </c>
      <c r="K70" s="151">
        <v>0</v>
      </c>
      <c r="L70" s="152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37"/>
      <c r="E71" s="37"/>
      <c r="F71" s="37">
        <v>0</v>
      </c>
      <c r="G71" s="66">
        <v>8.8174499999999991</v>
      </c>
      <c r="H71" s="66"/>
      <c r="I71" s="28">
        <f t="shared" si="2"/>
        <v>8.8174499999999991</v>
      </c>
      <c r="J71" s="151">
        <v>0</v>
      </c>
      <c r="K71" s="151">
        <v>0</v>
      </c>
      <c r="L71" s="152">
        <f t="shared" si="4"/>
        <v>8.8174499999999991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37"/>
      <c r="E72" s="37"/>
      <c r="F72" s="37">
        <v>0</v>
      </c>
      <c r="G72" s="66">
        <v>-7.8189900000000003</v>
      </c>
      <c r="H72" s="66"/>
      <c r="I72" s="28">
        <f t="shared" si="2"/>
        <v>-7.8189900000000003</v>
      </c>
      <c r="J72" s="151">
        <v>0</v>
      </c>
      <c r="K72" s="151">
        <v>0</v>
      </c>
      <c r="L72" s="152">
        <f t="shared" si="4"/>
        <v>-7.8189900000000003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37"/>
      <c r="E73" s="37"/>
      <c r="F73" s="37">
        <v>0</v>
      </c>
      <c r="G73" s="66">
        <v>-6.5024699999999998</v>
      </c>
      <c r="H73" s="66"/>
      <c r="I73" s="28">
        <f t="shared" ref="I73:I120" si="5">G73-F73</f>
        <v>-6.5024699999999998</v>
      </c>
      <c r="J73" s="151">
        <v>0</v>
      </c>
      <c r="K73" s="151">
        <v>0</v>
      </c>
      <c r="L73" s="152">
        <f t="shared" si="4"/>
        <v>-6.5024699999999998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37"/>
      <c r="E74" s="37"/>
      <c r="F74" s="37">
        <v>0</v>
      </c>
      <c r="G74" s="66">
        <v>6.0999999999999999E-2</v>
      </c>
      <c r="H74" s="66"/>
      <c r="I74" s="28">
        <f t="shared" si="5"/>
        <v>6.0999999999999999E-2</v>
      </c>
      <c r="J74" s="151">
        <v>0</v>
      </c>
      <c r="K74" s="151">
        <v>0</v>
      </c>
      <c r="L74" s="152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37"/>
      <c r="E75" s="37"/>
      <c r="F75" s="37">
        <v>0</v>
      </c>
      <c r="G75" s="66">
        <v>3.7583299999999999</v>
      </c>
      <c r="H75" s="66"/>
      <c r="I75" s="28">
        <f t="shared" si="5"/>
        <v>3.7583299999999999</v>
      </c>
      <c r="J75" s="151">
        <v>0</v>
      </c>
      <c r="K75" s="151">
        <v>0</v>
      </c>
      <c r="L75" s="152">
        <f t="shared" si="4"/>
        <v>3.7583299999999999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37"/>
      <c r="E76" s="37"/>
      <c r="F76" s="37">
        <v>0</v>
      </c>
      <c r="G76" s="66"/>
      <c r="H76" s="66"/>
      <c r="I76" s="28">
        <f t="shared" si="5"/>
        <v>0</v>
      </c>
      <c r="J76" s="151">
        <v>0</v>
      </c>
      <c r="K76" s="151">
        <v>0</v>
      </c>
      <c r="L76" s="152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37"/>
      <c r="E77" s="125">
        <f>E79+E80+E78+E81</f>
        <v>121544.9</v>
      </c>
      <c r="F77" s="125">
        <f>F79+F80+F78+F81</f>
        <v>68938.399999999994</v>
      </c>
      <c r="G77" s="125">
        <f>G79+G80+G78+G81</f>
        <v>72157.383860000002</v>
      </c>
      <c r="H77" s="66"/>
      <c r="I77" s="28">
        <f t="shared" si="5"/>
        <v>3218.9838600000076</v>
      </c>
      <c r="J77" s="151">
        <v>0</v>
      </c>
      <c r="K77" s="151">
        <f t="shared" ref="K77:K121" si="6">G77/E77</f>
        <v>0.59366854438154137</v>
      </c>
      <c r="L77" s="152">
        <f t="shared" si="4"/>
        <v>-49387.516139999992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37"/>
      <c r="E78" s="37">
        <v>0</v>
      </c>
      <c r="F78" s="37">
        <v>0</v>
      </c>
      <c r="G78" s="66">
        <v>8.5665499999999994</v>
      </c>
      <c r="H78" s="66"/>
      <c r="I78" s="28">
        <f t="shared" si="5"/>
        <v>8.5665499999999994</v>
      </c>
      <c r="J78" s="151">
        <v>0</v>
      </c>
      <c r="K78" s="151">
        <v>0</v>
      </c>
      <c r="L78" s="152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37"/>
      <c r="E79" s="37">
        <v>50570.9</v>
      </c>
      <c r="F79" s="37">
        <v>25258.400000000001</v>
      </c>
      <c r="G79" s="66">
        <v>26471.505990000001</v>
      </c>
      <c r="H79" s="66"/>
      <c r="I79" s="28">
        <f t="shared" si="5"/>
        <v>1213.10599</v>
      </c>
      <c r="J79" s="151">
        <v>0</v>
      </c>
      <c r="K79" s="151">
        <f t="shared" si="6"/>
        <v>0.52345332968169445</v>
      </c>
      <c r="L79" s="152">
        <f t="shared" si="4"/>
        <v>-24099.39401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37"/>
      <c r="E80" s="37">
        <v>70974</v>
      </c>
      <c r="F80" s="37">
        <v>43680</v>
      </c>
      <c r="G80" s="66">
        <v>45672.61032</v>
      </c>
      <c r="H80" s="66"/>
      <c r="I80" s="28">
        <f t="shared" si="5"/>
        <v>1992.6103199999998</v>
      </c>
      <c r="J80" s="151">
        <v>0</v>
      </c>
      <c r="K80" s="151">
        <f t="shared" si="6"/>
        <v>0.64351185391833632</v>
      </c>
      <c r="L80" s="152">
        <f t="shared" si="4"/>
        <v>-25301.38968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37"/>
      <c r="E81" s="37">
        <v>0</v>
      </c>
      <c r="F81" s="37">
        <v>0</v>
      </c>
      <c r="G81" s="66">
        <v>4.7009999999999996</v>
      </c>
      <c r="H81" s="66"/>
      <c r="I81" s="28">
        <f t="shared" si="5"/>
        <v>4.7009999999999996</v>
      </c>
      <c r="J81" s="151">
        <v>0</v>
      </c>
      <c r="K81" s="151">
        <v>0</v>
      </c>
      <c r="L81" s="152">
        <f t="shared" si="4"/>
        <v>4.7009999999999996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32"/>
      <c r="E82" s="32">
        <f>E83</f>
        <v>702.4</v>
      </c>
      <c r="F82" s="125">
        <f>F83</f>
        <v>337.1</v>
      </c>
      <c r="G82" s="125">
        <f>G83</f>
        <v>160.76549</v>
      </c>
      <c r="H82" s="66"/>
      <c r="I82" s="28">
        <f t="shared" si="5"/>
        <v>-176.33451000000002</v>
      </c>
      <c r="J82" s="151">
        <v>0</v>
      </c>
      <c r="K82" s="151">
        <v>0</v>
      </c>
      <c r="L82" s="152">
        <f t="shared" si="4"/>
        <v>-541.63450999999998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32"/>
      <c r="E83" s="32">
        <f>E84+E85+E86</f>
        <v>702.4</v>
      </c>
      <c r="F83" s="125">
        <f>F84+F85+F86</f>
        <v>337.1</v>
      </c>
      <c r="G83" s="125">
        <f>G84+G85+G86</f>
        <v>160.76549</v>
      </c>
      <c r="H83" s="66"/>
      <c r="I83" s="28">
        <f t="shared" si="5"/>
        <v>-176.33451000000002</v>
      </c>
      <c r="J83" s="151">
        <v>0</v>
      </c>
      <c r="K83" s="151">
        <v>0</v>
      </c>
      <c r="L83" s="152">
        <f t="shared" si="4"/>
        <v>-541.63450999999998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37"/>
      <c r="E84" s="37">
        <v>342.1</v>
      </c>
      <c r="F84" s="37">
        <v>164.1</v>
      </c>
      <c r="G84" s="66">
        <f>161.00903-32.20184</f>
        <v>128.80718999999999</v>
      </c>
      <c r="H84" s="66"/>
      <c r="I84" s="28">
        <f t="shared" si="5"/>
        <v>-35.292810000000003</v>
      </c>
      <c r="J84" s="151">
        <v>0</v>
      </c>
      <c r="K84" s="151">
        <v>0</v>
      </c>
      <c r="L84" s="152">
        <f t="shared" si="4"/>
        <v>-213.29281000000003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37"/>
      <c r="E85" s="37">
        <v>243</v>
      </c>
      <c r="F85" s="37">
        <v>116.7</v>
      </c>
      <c r="G85" s="66">
        <f>0.13-0.026</f>
        <v>0.10400000000000001</v>
      </c>
      <c r="H85" s="66"/>
      <c r="I85" s="28">
        <f t="shared" si="5"/>
        <v>-116.596</v>
      </c>
      <c r="J85" s="151">
        <v>0</v>
      </c>
      <c r="K85" s="151">
        <v>0</v>
      </c>
      <c r="L85" s="152">
        <f t="shared" si="4"/>
        <v>-242.89599999999999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37"/>
      <c r="E86" s="37">
        <v>117.3</v>
      </c>
      <c r="F86" s="37">
        <v>56.3</v>
      </c>
      <c r="G86" s="66">
        <f>39.81788-7.96358</f>
        <v>31.854300000000002</v>
      </c>
      <c r="H86" s="66"/>
      <c r="I86" s="28">
        <f t="shared" si="5"/>
        <v>-24.445699999999995</v>
      </c>
      <c r="J86" s="151">
        <v>0</v>
      </c>
      <c r="K86" s="151">
        <v>0</v>
      </c>
      <c r="L86" s="152">
        <f t="shared" si="4"/>
        <v>-85.445699999999988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32">
        <v>18149.8</v>
      </c>
      <c r="E87" s="32">
        <v>18149.8</v>
      </c>
      <c r="F87" s="125">
        <f>F88+F95+F112</f>
        <v>6923.5000000000009</v>
      </c>
      <c r="G87" s="125">
        <f>G88+G95+G112</f>
        <v>11483.616039999997</v>
      </c>
      <c r="H87" s="125"/>
      <c r="I87" s="28">
        <f t="shared" si="5"/>
        <v>4560.1160399999962</v>
      </c>
      <c r="J87" s="151">
        <f t="shared" ref="J87:J121" si="7">G87/F87</f>
        <v>1.6586431775835915</v>
      </c>
      <c r="K87" s="151">
        <f t="shared" si="6"/>
        <v>0.63271308995140429</v>
      </c>
      <c r="L87" s="152">
        <f t="shared" si="4"/>
        <v>-6666.1839600000021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37">
        <v>1906.3</v>
      </c>
      <c r="E88" s="37">
        <v>1906.3</v>
      </c>
      <c r="F88" s="125">
        <f>F89+F92</f>
        <v>615.6</v>
      </c>
      <c r="G88" s="125">
        <f>G89+G92</f>
        <v>1070.1062299999999</v>
      </c>
      <c r="H88" s="66"/>
      <c r="I88" s="28">
        <f t="shared" si="5"/>
        <v>454.50622999999985</v>
      </c>
      <c r="J88" s="151">
        <f t="shared" si="7"/>
        <v>1.7383142137751784</v>
      </c>
      <c r="K88" s="151">
        <f t="shared" si="6"/>
        <v>0.56135247862351145</v>
      </c>
      <c r="L88" s="152">
        <f t="shared" si="4"/>
        <v>-836.19377000000009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37">
        <v>1277.3</v>
      </c>
      <c r="E89" s="37">
        <v>1277.3</v>
      </c>
      <c r="F89" s="66">
        <f>F91+F90</f>
        <v>371.6</v>
      </c>
      <c r="G89" s="66">
        <f>G91+G90</f>
        <v>921.28</v>
      </c>
      <c r="H89" s="66"/>
      <c r="I89" s="28">
        <f t="shared" si="5"/>
        <v>549.67999999999995</v>
      </c>
      <c r="J89" s="151">
        <f t="shared" si="7"/>
        <v>2.4792249730893432</v>
      </c>
      <c r="K89" s="151">
        <f t="shared" si="6"/>
        <v>0.72127143192672039</v>
      </c>
      <c r="L89" s="152">
        <f t="shared" si="4"/>
        <v>-356.02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37">
        <v>1277.3</v>
      </c>
      <c r="E90" s="37">
        <v>1277.3</v>
      </c>
      <c r="F90" s="37">
        <v>371.6</v>
      </c>
      <c r="G90" s="66">
        <v>808.68899999999996</v>
      </c>
      <c r="H90" s="66"/>
      <c r="I90" s="28">
        <f t="shared" si="5"/>
        <v>437.08899999999994</v>
      </c>
      <c r="J90" s="151">
        <f t="shared" si="7"/>
        <v>2.1762351991388589</v>
      </c>
      <c r="K90" s="151">
        <f t="shared" si="6"/>
        <v>0.63312377671651143</v>
      </c>
      <c r="L90" s="152">
        <f t="shared" si="4"/>
        <v>-468.61099999999999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37"/>
      <c r="E91" s="37"/>
      <c r="F91" s="37">
        <v>0</v>
      </c>
      <c r="G91" s="66">
        <v>112.59099999999999</v>
      </c>
      <c r="H91" s="66"/>
      <c r="I91" s="28">
        <f t="shared" si="5"/>
        <v>112.59099999999999</v>
      </c>
      <c r="J91" s="151">
        <v>0</v>
      </c>
      <c r="K91" s="151">
        <v>0</v>
      </c>
      <c r="L91" s="152">
        <f t="shared" si="4"/>
        <v>112.59099999999999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125">
        <f>D94+D93</f>
        <v>629</v>
      </c>
      <c r="E92" s="125">
        <f>E94+E93</f>
        <v>629</v>
      </c>
      <c r="F92" s="125">
        <f>F94+F93</f>
        <v>244</v>
      </c>
      <c r="G92" s="125">
        <f>G94+G93</f>
        <v>148.82622999999998</v>
      </c>
      <c r="H92" s="66"/>
      <c r="I92" s="28">
        <f t="shared" si="5"/>
        <v>-95.173770000000019</v>
      </c>
      <c r="J92" s="151">
        <f t="shared" si="7"/>
        <v>0.60994356557377039</v>
      </c>
      <c r="K92" s="151">
        <f t="shared" si="6"/>
        <v>0.23660767885532588</v>
      </c>
      <c r="L92" s="152">
        <f t="shared" si="4"/>
        <v>-480.17376999999999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37">
        <v>6.2</v>
      </c>
      <c r="E93" s="37">
        <v>6.2</v>
      </c>
      <c r="F93" s="66">
        <v>2</v>
      </c>
      <c r="G93" s="66">
        <v>0.48699999999999999</v>
      </c>
      <c r="H93" s="66"/>
      <c r="I93" s="28">
        <f t="shared" si="5"/>
        <v>-1.5129999999999999</v>
      </c>
      <c r="J93" s="151">
        <f t="shared" si="7"/>
        <v>0.24349999999999999</v>
      </c>
      <c r="K93" s="151">
        <f t="shared" si="6"/>
        <v>7.8548387096774183E-2</v>
      </c>
      <c r="L93" s="152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37">
        <v>622.79999999999995</v>
      </c>
      <c r="E94" s="37">
        <v>622.79999999999995</v>
      </c>
      <c r="F94" s="37">
        <v>242</v>
      </c>
      <c r="G94" s="66">
        <f>131.33923+17</f>
        <v>148.33922999999999</v>
      </c>
      <c r="H94" s="66"/>
      <c r="I94" s="28">
        <f t="shared" si="5"/>
        <v>-93.660770000000014</v>
      </c>
      <c r="J94" s="151">
        <f t="shared" si="7"/>
        <v>0.61297202479338841</v>
      </c>
      <c r="K94" s="151">
        <f t="shared" si="6"/>
        <v>0.23818116570327552</v>
      </c>
      <c r="L94" s="152">
        <f t="shared" si="4"/>
        <v>-474.46076999999997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32">
        <v>16081.2</v>
      </c>
      <c r="E95" s="32">
        <v>16081.2</v>
      </c>
      <c r="F95" s="125">
        <f>F96+F105+F107</f>
        <v>6250.3</v>
      </c>
      <c r="G95" s="125">
        <f>G96+G105+G107</f>
        <v>10355.171019999998</v>
      </c>
      <c r="H95" s="66"/>
      <c r="I95" s="28">
        <f t="shared" si="5"/>
        <v>4104.8710199999978</v>
      </c>
      <c r="J95" s="151">
        <f t="shared" si="7"/>
        <v>1.6567478393037129</v>
      </c>
      <c r="K95" s="151">
        <f t="shared" si="6"/>
        <v>0.64393024276795252</v>
      </c>
      <c r="L95" s="152">
        <f t="shared" si="4"/>
        <v>-5726.0289800000028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149">
        <f>D99+D100+D101+D102+D103+D104+D98+D97</f>
        <v>10982.6</v>
      </c>
      <c r="E96" s="149">
        <f>E99+E100+E101+E102+E103+E104+E98+E97</f>
        <v>10982.6</v>
      </c>
      <c r="F96" s="149">
        <f>F99+F100+F101+F102+F103+F104+F98+F97</f>
        <v>4518.2</v>
      </c>
      <c r="G96" s="149">
        <f>G99+G100+G101+G102+G103+G104+G98+G97</f>
        <v>7461.5578099999993</v>
      </c>
      <c r="H96" s="66"/>
      <c r="I96" s="28">
        <f t="shared" si="5"/>
        <v>2943.3578099999995</v>
      </c>
      <c r="J96" s="151">
        <f t="shared" si="7"/>
        <v>1.6514447811075206</v>
      </c>
      <c r="K96" s="151">
        <f t="shared" si="6"/>
        <v>0.67939812157412627</v>
      </c>
      <c r="L96" s="152">
        <f t="shared" si="4"/>
        <v>-3521.042190000001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149">
        <v>5</v>
      </c>
      <c r="E97" s="149">
        <v>5</v>
      </c>
      <c r="F97" s="149">
        <v>0</v>
      </c>
      <c r="G97" s="149">
        <v>0</v>
      </c>
      <c r="H97" s="66"/>
      <c r="I97" s="28">
        <f t="shared" si="5"/>
        <v>0</v>
      </c>
      <c r="J97" s="151">
        <v>0</v>
      </c>
      <c r="K97" s="151">
        <f t="shared" si="6"/>
        <v>0</v>
      </c>
      <c r="L97" s="152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37">
        <v>2</v>
      </c>
      <c r="E98" s="37">
        <v>2</v>
      </c>
      <c r="F98" s="37">
        <v>1</v>
      </c>
      <c r="G98" s="66">
        <v>0.78</v>
      </c>
      <c r="H98" s="66"/>
      <c r="I98" s="28">
        <f t="shared" si="5"/>
        <v>-0.21999999999999997</v>
      </c>
      <c r="J98" s="151">
        <f t="shared" si="7"/>
        <v>0.78</v>
      </c>
      <c r="K98" s="151">
        <f t="shared" si="6"/>
        <v>0.39</v>
      </c>
      <c r="L98" s="152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37">
        <v>3.5</v>
      </c>
      <c r="E99" s="37">
        <v>3.5</v>
      </c>
      <c r="F99" s="37">
        <v>1.7</v>
      </c>
      <c r="G99" s="66">
        <v>3.9</v>
      </c>
      <c r="H99" s="66"/>
      <c r="I99" s="28">
        <f t="shared" si="5"/>
        <v>2.2000000000000002</v>
      </c>
      <c r="J99" s="151">
        <f t="shared" si="7"/>
        <v>2.2941176470588234</v>
      </c>
      <c r="K99" s="151">
        <f t="shared" si="6"/>
        <v>1.1142857142857143</v>
      </c>
      <c r="L99" s="152">
        <f t="shared" si="4"/>
        <v>0.39999999999999991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37">
        <v>120</v>
      </c>
      <c r="E100" s="37">
        <v>120</v>
      </c>
      <c r="F100" s="37">
        <v>62</v>
      </c>
      <c r="G100" s="66">
        <v>20.483000000000001</v>
      </c>
      <c r="H100" s="66"/>
      <c r="I100" s="28">
        <f t="shared" si="5"/>
        <v>-41.516999999999996</v>
      </c>
      <c r="J100" s="151">
        <f t="shared" si="7"/>
        <v>0.33037096774193547</v>
      </c>
      <c r="K100" s="151">
        <f t="shared" si="6"/>
        <v>0.17069166666666666</v>
      </c>
      <c r="L100" s="152">
        <f t="shared" si="4"/>
        <v>-99.516999999999996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37">
        <v>2000</v>
      </c>
      <c r="E101" s="37">
        <v>2000</v>
      </c>
      <c r="F101" s="37">
        <v>1000</v>
      </c>
      <c r="G101" s="66">
        <v>1001.235</v>
      </c>
      <c r="H101" s="66"/>
      <c r="I101" s="28">
        <f t="shared" si="5"/>
        <v>1.2350000000000136</v>
      </c>
      <c r="J101" s="151">
        <f t="shared" si="7"/>
        <v>1.0012350000000001</v>
      </c>
      <c r="K101" s="151">
        <f t="shared" si="6"/>
        <v>0.50061750000000005</v>
      </c>
      <c r="L101" s="152">
        <f t="shared" si="4"/>
        <v>-998.76499999999999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37">
        <v>7878.1</v>
      </c>
      <c r="E102" s="37">
        <v>7878.1</v>
      </c>
      <c r="F102" s="37">
        <v>3090</v>
      </c>
      <c r="G102" s="66">
        <v>2825.8425499999998</v>
      </c>
      <c r="H102" s="66"/>
      <c r="I102" s="28">
        <f t="shared" si="5"/>
        <v>-264.15745000000015</v>
      </c>
      <c r="J102" s="151">
        <f t="shared" si="7"/>
        <v>0.91451215210355985</v>
      </c>
      <c r="K102" s="151">
        <f t="shared" si="6"/>
        <v>0.35869594826163664</v>
      </c>
      <c r="L102" s="152">
        <f t="shared" si="4"/>
        <v>-5052.257450000001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37">
        <v>974</v>
      </c>
      <c r="E103" s="37">
        <v>974</v>
      </c>
      <c r="F103" s="37">
        <v>363.5</v>
      </c>
      <c r="G103" s="66">
        <v>321.41788000000003</v>
      </c>
      <c r="H103" s="66"/>
      <c r="I103" s="28">
        <f t="shared" si="5"/>
        <v>-42.082119999999975</v>
      </c>
      <c r="J103" s="151">
        <f t="shared" si="7"/>
        <v>0.8842307565337002</v>
      </c>
      <c r="K103" s="151">
        <f t="shared" si="6"/>
        <v>0.32999782340862427</v>
      </c>
      <c r="L103" s="152">
        <f t="shared" si="4"/>
        <v>-652.58212000000003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37"/>
      <c r="E104" s="37">
        <v>0</v>
      </c>
      <c r="F104" s="37">
        <v>0</v>
      </c>
      <c r="G104" s="66">
        <v>3287.8993799999998</v>
      </c>
      <c r="H104" s="66"/>
      <c r="I104" s="28">
        <f t="shared" si="5"/>
        <v>3287.8993799999998</v>
      </c>
      <c r="J104" s="151">
        <v>0</v>
      </c>
      <c r="K104" s="151">
        <v>0</v>
      </c>
      <c r="L104" s="152">
        <f t="shared" si="4"/>
        <v>3287.8993799999998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32">
        <v>4496.8</v>
      </c>
      <c r="E105" s="32">
        <v>4496.8</v>
      </c>
      <c r="F105" s="147">
        <f>F106</f>
        <v>1580</v>
      </c>
      <c r="G105" s="147">
        <f>G106</f>
        <v>1719.0432600000001</v>
      </c>
      <c r="H105" s="66"/>
      <c r="I105" s="28">
        <f t="shared" si="5"/>
        <v>139.04326000000015</v>
      </c>
      <c r="J105" s="151">
        <f t="shared" si="7"/>
        <v>1.0880020632911394</v>
      </c>
      <c r="K105" s="151">
        <f t="shared" si="6"/>
        <v>0.382281457925636</v>
      </c>
      <c r="L105" s="152">
        <f t="shared" si="4"/>
        <v>-2777.7567399999998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37">
        <v>4496.8</v>
      </c>
      <c r="E106" s="37">
        <v>4496.8</v>
      </c>
      <c r="F106" s="37">
        <v>1580</v>
      </c>
      <c r="G106" s="66">
        <f>204.27653+1514.76673</f>
        <v>1719.0432600000001</v>
      </c>
      <c r="H106" s="66"/>
      <c r="I106" s="28">
        <f t="shared" si="5"/>
        <v>139.04326000000015</v>
      </c>
      <c r="J106" s="151">
        <f t="shared" si="7"/>
        <v>1.0880020632911394</v>
      </c>
      <c r="K106" s="151">
        <f t="shared" si="6"/>
        <v>0.382281457925636</v>
      </c>
      <c r="L106" s="152">
        <f t="shared" si="4"/>
        <v>-2777.7567399999998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43">
        <v>601.79999999999995</v>
      </c>
      <c r="E107" s="43">
        <v>601.79999999999995</v>
      </c>
      <c r="F107" s="147">
        <f>F108+F109+F110+F111</f>
        <v>152.1</v>
      </c>
      <c r="G107" s="147">
        <f>G108+G109+G110+G111</f>
        <v>1174.5699500000001</v>
      </c>
      <c r="H107" s="66"/>
      <c r="I107" s="28">
        <f t="shared" si="5"/>
        <v>1022.46995</v>
      </c>
      <c r="J107" s="151">
        <f t="shared" si="7"/>
        <v>7.72235338593031</v>
      </c>
      <c r="K107" s="151">
        <f t="shared" si="6"/>
        <v>1.9517612994350284</v>
      </c>
      <c r="L107" s="152">
        <f t="shared" si="4"/>
        <v>572.76995000000011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37">
        <v>549</v>
      </c>
      <c r="E108" s="37">
        <v>549</v>
      </c>
      <c r="F108" s="37">
        <v>132.5</v>
      </c>
      <c r="G108" s="66">
        <v>139.68210999999999</v>
      </c>
      <c r="H108" s="66"/>
      <c r="I108" s="28">
        <f t="shared" si="5"/>
        <v>7.1821099999999944</v>
      </c>
      <c r="J108" s="151">
        <f t="shared" si="7"/>
        <v>1.0542046037735848</v>
      </c>
      <c r="K108" s="151">
        <f t="shared" si="6"/>
        <v>0.254430072859745</v>
      </c>
      <c r="L108" s="152">
        <f t="shared" si="4"/>
        <v>-409.31789000000003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37">
        <v>0</v>
      </c>
      <c r="E109" s="37">
        <v>0</v>
      </c>
      <c r="F109" s="37">
        <v>0</v>
      </c>
      <c r="G109" s="66">
        <v>236.90719000000001</v>
      </c>
      <c r="H109" s="66"/>
      <c r="I109" s="28">
        <f t="shared" si="5"/>
        <v>236.90719000000001</v>
      </c>
      <c r="J109" s="151">
        <v>0</v>
      </c>
      <c r="K109" s="151">
        <v>0</v>
      </c>
      <c r="L109" s="152">
        <f t="shared" si="4"/>
        <v>236.90719000000001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37">
        <v>0</v>
      </c>
      <c r="E110" s="37">
        <v>0</v>
      </c>
      <c r="F110" s="37">
        <v>0</v>
      </c>
      <c r="G110" s="66">
        <v>18.036269999999998</v>
      </c>
      <c r="H110" s="66"/>
      <c r="I110" s="28">
        <f t="shared" si="5"/>
        <v>18.036269999999998</v>
      </c>
      <c r="J110" s="151">
        <v>0</v>
      </c>
      <c r="K110" s="151">
        <v>0</v>
      </c>
      <c r="L110" s="152">
        <f t="shared" si="4"/>
        <v>18.036269999999998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37">
        <v>52.8</v>
      </c>
      <c r="E111" s="37">
        <v>52.8</v>
      </c>
      <c r="F111" s="37">
        <v>19.600000000000001</v>
      </c>
      <c r="G111" s="66">
        <v>779.94438000000002</v>
      </c>
      <c r="H111" s="66"/>
      <c r="I111" s="28">
        <f t="shared" si="5"/>
        <v>760.34438</v>
      </c>
      <c r="J111" s="151">
        <f t="shared" si="7"/>
        <v>39.793080612244893</v>
      </c>
      <c r="K111" s="151">
        <f t="shared" si="6"/>
        <v>14.771673863636364</v>
      </c>
      <c r="L111" s="152">
        <f t="shared" si="4"/>
        <v>727.14438000000007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43">
        <v>162.30000000000001</v>
      </c>
      <c r="E112" s="43">
        <v>162.30000000000001</v>
      </c>
      <c r="F112" s="147">
        <f>F114+F113</f>
        <v>57.6</v>
      </c>
      <c r="G112" s="147">
        <f>G114+G113</f>
        <v>58.338790000000003</v>
      </c>
      <c r="H112" s="149"/>
      <c r="I112" s="28">
        <f t="shared" si="5"/>
        <v>0.73879000000000161</v>
      </c>
      <c r="J112" s="151">
        <f t="shared" si="7"/>
        <v>1.0128262152777778</v>
      </c>
      <c r="K112" s="151">
        <f t="shared" si="6"/>
        <v>0.35945033887861982</v>
      </c>
      <c r="L112" s="152">
        <f t="shared" si="4"/>
        <v>-103.96121000000001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37">
        <v>20</v>
      </c>
      <c r="E113" s="37">
        <v>20</v>
      </c>
      <c r="F113" s="37">
        <v>0</v>
      </c>
      <c r="G113" s="66">
        <v>0</v>
      </c>
      <c r="H113" s="66"/>
      <c r="I113" s="28">
        <f t="shared" si="5"/>
        <v>0</v>
      </c>
      <c r="J113" s="151">
        <v>0</v>
      </c>
      <c r="K113" s="151">
        <f t="shared" si="6"/>
        <v>0</v>
      </c>
      <c r="L113" s="152">
        <f t="shared" si="4"/>
        <v>-20</v>
      </c>
      <c r="M113" s="25"/>
      <c r="N113" s="12"/>
      <c r="O113" s="12"/>
    </row>
    <row r="114" spans="1:15" s="13" customFormat="1" ht="61.5" x14ac:dyDescent="0.45">
      <c r="A114" s="38"/>
      <c r="B114" s="35">
        <v>24060000</v>
      </c>
      <c r="C114" s="45" t="s">
        <v>118</v>
      </c>
      <c r="D114" s="37">
        <v>142.30000000000001</v>
      </c>
      <c r="E114" s="37">
        <v>142.30000000000001</v>
      </c>
      <c r="F114" s="66">
        <f>F115</f>
        <v>57.6</v>
      </c>
      <c r="G114" s="66">
        <f>G115</f>
        <v>58.338790000000003</v>
      </c>
      <c r="H114" s="66"/>
      <c r="I114" s="28">
        <f t="shared" si="5"/>
        <v>0.73879000000000161</v>
      </c>
      <c r="J114" s="151">
        <f t="shared" si="7"/>
        <v>1.0128262152777778</v>
      </c>
      <c r="K114" s="151">
        <f t="shared" si="6"/>
        <v>0.40997041461700634</v>
      </c>
      <c r="L114" s="152">
        <f t="shared" si="4"/>
        <v>-83.961210000000008</v>
      </c>
      <c r="M114" s="25"/>
      <c r="N114" s="12"/>
      <c r="O114" s="12"/>
    </row>
    <row r="115" spans="1:15" s="13" customFormat="1" ht="61.5" x14ac:dyDescent="0.45">
      <c r="A115" s="38"/>
      <c r="B115" s="35">
        <v>24060300</v>
      </c>
      <c r="C115" s="45" t="s">
        <v>119</v>
      </c>
      <c r="D115" s="47">
        <v>142.30000000000001</v>
      </c>
      <c r="E115" s="47">
        <v>142.30000000000001</v>
      </c>
      <c r="F115" s="47">
        <v>57.6</v>
      </c>
      <c r="G115" s="139">
        <v>58.338790000000003</v>
      </c>
      <c r="H115" s="66"/>
      <c r="I115" s="28">
        <f t="shared" si="5"/>
        <v>0.73879000000000161</v>
      </c>
      <c r="J115" s="151">
        <f t="shared" si="7"/>
        <v>1.0128262152777778</v>
      </c>
      <c r="K115" s="151">
        <f t="shared" si="6"/>
        <v>0.40997041461700634</v>
      </c>
      <c r="L115" s="152">
        <f t="shared" si="4"/>
        <v>-83.961210000000008</v>
      </c>
      <c r="M115" s="25"/>
      <c r="N115" s="12"/>
      <c r="O115" s="12"/>
    </row>
    <row r="116" spans="1:15" s="13" customFormat="1" ht="61.5" x14ac:dyDescent="0.45">
      <c r="A116" s="38"/>
      <c r="B116" s="39">
        <v>30000000</v>
      </c>
      <c r="C116" s="49" t="s">
        <v>120</v>
      </c>
      <c r="D116" s="32">
        <v>48.4</v>
      </c>
      <c r="E116" s="32">
        <v>48.4</v>
      </c>
      <c r="F116" s="125">
        <f>F117</f>
        <v>23</v>
      </c>
      <c r="G116" s="125">
        <f>G117</f>
        <v>13.117800000000001</v>
      </c>
      <c r="H116" s="154"/>
      <c r="I116" s="28">
        <f t="shared" si="5"/>
        <v>-9.8821999999999992</v>
      </c>
      <c r="J116" s="151">
        <f t="shared" si="7"/>
        <v>0.57033913043478268</v>
      </c>
      <c r="K116" s="151">
        <f t="shared" si="6"/>
        <v>0.27102892561983472</v>
      </c>
      <c r="L116" s="152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51">
        <v>48.4</v>
      </c>
      <c r="E117" s="51">
        <v>48.4</v>
      </c>
      <c r="F117" s="61">
        <f>F118</f>
        <v>23</v>
      </c>
      <c r="G117" s="61">
        <f>G118</f>
        <v>13.117800000000001</v>
      </c>
      <c r="H117" s="66"/>
      <c r="I117" s="28">
        <f t="shared" si="5"/>
        <v>-9.8821999999999992</v>
      </c>
      <c r="J117" s="151">
        <f t="shared" si="7"/>
        <v>0.57033913043478268</v>
      </c>
      <c r="K117" s="151">
        <f t="shared" si="6"/>
        <v>0.27102892561983472</v>
      </c>
      <c r="L117" s="152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56">
        <v>48.4</v>
      </c>
      <c r="E118" s="56">
        <v>48.4</v>
      </c>
      <c r="F118" s="56">
        <v>23</v>
      </c>
      <c r="G118" s="155">
        <v>13.117800000000001</v>
      </c>
      <c r="H118" s="155"/>
      <c r="I118" s="28">
        <f t="shared" si="5"/>
        <v>-9.8821999999999992</v>
      </c>
      <c r="J118" s="151">
        <f t="shared" si="7"/>
        <v>0.57033913043478268</v>
      </c>
      <c r="K118" s="151">
        <f t="shared" si="6"/>
        <v>0.27102892561983472</v>
      </c>
      <c r="L118" s="152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61"/>
      <c r="E119" s="61"/>
      <c r="F119" s="61"/>
      <c r="G119" s="61"/>
      <c r="H119" s="61"/>
      <c r="I119" s="28">
        <f t="shared" si="5"/>
        <v>0</v>
      </c>
      <c r="J119" s="151" t="e">
        <f t="shared" si="7"/>
        <v>#DIV/0!</v>
      </c>
      <c r="K119" s="151" t="e">
        <f t="shared" si="6"/>
        <v>#DIV/0!</v>
      </c>
      <c r="L119" s="152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39"/>
      <c r="E120" s="139"/>
      <c r="F120" s="139"/>
      <c r="G120" s="156"/>
      <c r="H120" s="156"/>
      <c r="I120" s="157">
        <f t="shared" si="5"/>
        <v>0</v>
      </c>
      <c r="J120" s="158" t="e">
        <f t="shared" si="7"/>
        <v>#DIV/0!</v>
      </c>
      <c r="K120" s="158" t="e">
        <f t="shared" si="6"/>
        <v>#DIV/0!</v>
      </c>
      <c r="L120" s="159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72">
        <v>1096783</v>
      </c>
      <c r="E121" s="150">
        <f>E5+E87+E116</f>
        <v>1393427.7999999998</v>
      </c>
      <c r="F121" s="150">
        <f>F5+F87+F116</f>
        <v>631129.5</v>
      </c>
      <c r="G121" s="150">
        <f>G5+G87+G116</f>
        <v>630401.16882000002</v>
      </c>
      <c r="H121" s="160"/>
      <c r="I121" s="161">
        <f>G121-F121</f>
        <v>-728.33117999997921</v>
      </c>
      <c r="J121" s="162">
        <f t="shared" si="7"/>
        <v>0.99884598774102629</v>
      </c>
      <c r="K121" s="162">
        <f t="shared" si="6"/>
        <v>0.45241035726429463</v>
      </c>
      <c r="L121" s="163">
        <f>G121-E121</f>
        <v>-763026.63117999979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zoomScale="30" zoomScaleNormal="50" zoomScaleSheetLayoutView="30" workbookViewId="0">
      <selection activeCell="C11" sqref="C11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">
      <c r="A1" s="1"/>
      <c r="B1" s="2"/>
      <c r="C1" s="212" t="s">
        <v>142</v>
      </c>
      <c r="D1" s="212"/>
      <c r="E1" s="212"/>
      <c r="F1" s="212"/>
      <c r="G1" s="212"/>
      <c r="H1" s="212"/>
      <c r="I1" s="212"/>
      <c r="J1" s="213"/>
      <c r="K1" s="213"/>
      <c r="L1" s="213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139</v>
      </c>
      <c r="G3" s="10" t="s">
        <v>7</v>
      </c>
      <c r="H3" s="11" t="s">
        <v>7</v>
      </c>
      <c r="I3" s="197" t="s">
        <v>141</v>
      </c>
      <c r="J3" s="197" t="s">
        <v>140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42132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9">
        <v>1078584.8</v>
      </c>
      <c r="E5" s="148">
        <f>E6+E31+E44+E46+E49+E82</f>
        <v>1375229.5999999999</v>
      </c>
      <c r="F5" s="148">
        <f>F6+F31+F44+F46+F49+F82</f>
        <v>624183</v>
      </c>
      <c r="G5" s="148">
        <f>G6+G31+G44+G46+G49+G82</f>
        <v>574642.49271999998</v>
      </c>
      <c r="H5" s="21"/>
      <c r="I5" s="28">
        <f>G5-F5</f>
        <v>-49540.50728000002</v>
      </c>
      <c r="J5" s="151">
        <f>G5/F5</f>
        <v>0.9206314377674496</v>
      </c>
      <c r="K5" s="151">
        <f>G5/E5</f>
        <v>0.41785203919403713</v>
      </c>
      <c r="L5" s="152">
        <f>G5-E5</f>
        <v>-800587.10727999988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9">
        <v>705340.9</v>
      </c>
      <c r="E6" s="148">
        <f>E7+E13</f>
        <v>770266.4</v>
      </c>
      <c r="F6" s="148">
        <f>F7+F13</f>
        <v>361888.9</v>
      </c>
      <c r="G6" s="148">
        <f>G7+G13</f>
        <v>350739.48592999997</v>
      </c>
      <c r="H6" s="21"/>
      <c r="I6" s="28">
        <f>G6-F6</f>
        <v>-11149.414070000057</v>
      </c>
      <c r="J6" s="151">
        <f>G6/F6</f>
        <v>0.96919105816729922</v>
      </c>
      <c r="K6" s="151">
        <f t="shared" ref="K6:K66" si="0">G6/E6</f>
        <v>0.45534828720297282</v>
      </c>
      <c r="L6" s="152">
        <f t="shared" ref="L6:L69" si="1">G6-E6</f>
        <v>-419526.91407000006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32">
        <f>(SUM([1]Голосіїв!O12))/1000</f>
        <v>704381.4</v>
      </c>
      <c r="E7" s="125">
        <f>E8+E9+E11+E12+E10</f>
        <v>704381.4</v>
      </c>
      <c r="F7" s="125">
        <f>F8+F9+F11+F12+F10</f>
        <v>301600</v>
      </c>
      <c r="G7" s="125">
        <f>G8+G9+G11+G12+G10</f>
        <v>280475.75973999995</v>
      </c>
      <c r="H7" s="66">
        <f>('[1]класифікація (2011)'!C8-'[1]класифікація (2011)'!C12-'[1]класифікація (2011)'!C24)/1000</f>
        <v>93520.299014999997</v>
      </c>
      <c r="I7" s="28">
        <f>G7-F7</f>
        <v>-21124.24026000005</v>
      </c>
      <c r="J7" s="151">
        <f>G7/F7</f>
        <v>0.92995941558355422</v>
      </c>
      <c r="K7" s="151">
        <f t="shared" si="0"/>
        <v>0.39818734529333105</v>
      </c>
      <c r="L7" s="152">
        <f t="shared" si="1"/>
        <v>-423905.64026000007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37">
        <v>631281.4</v>
      </c>
      <c r="E8" s="37">
        <v>631281.4</v>
      </c>
      <c r="F8" s="37">
        <v>270800</v>
      </c>
      <c r="G8" s="66">
        <f>641214.61533-384728.76925</f>
        <v>256485.84607999993</v>
      </c>
      <c r="H8" s="66"/>
      <c r="I8" s="28">
        <f t="shared" ref="I8:I72" si="2">G8-F8</f>
        <v>-14314.15392000007</v>
      </c>
      <c r="J8" s="151">
        <f>G8/F8</f>
        <v>0.94714123367799086</v>
      </c>
      <c r="K8" s="151">
        <f t="shared" si="0"/>
        <v>0.40629400150234096</v>
      </c>
      <c r="L8" s="152">
        <f t="shared" si="1"/>
        <v>-374795.55392000009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37">
        <v>7200</v>
      </c>
      <c r="E9" s="37">
        <v>7200</v>
      </c>
      <c r="F9" s="37">
        <v>3300</v>
      </c>
      <c r="G9" s="66">
        <f>5863.68117-3518.20872</f>
        <v>2345.4724499999998</v>
      </c>
      <c r="H9" s="66"/>
      <c r="I9" s="28">
        <f t="shared" si="2"/>
        <v>-954.52755000000025</v>
      </c>
      <c r="J9" s="151">
        <f>G9/F9</f>
        <v>0.71074922727272716</v>
      </c>
      <c r="K9" s="151">
        <f t="shared" si="0"/>
        <v>0.32576006249999995</v>
      </c>
      <c r="L9" s="152">
        <f t="shared" si="1"/>
        <v>-4854.5275500000007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37">
        <v>0</v>
      </c>
      <c r="E10" s="37">
        <v>0</v>
      </c>
      <c r="F10" s="37">
        <v>0</v>
      </c>
      <c r="G10" s="66">
        <f>0.51891-0.31134</f>
        <v>0.20756999999999998</v>
      </c>
      <c r="H10" s="66"/>
      <c r="I10" s="28">
        <f t="shared" si="2"/>
        <v>0.20756999999999998</v>
      </c>
      <c r="J10" s="151">
        <v>0</v>
      </c>
      <c r="K10" s="151">
        <v>0</v>
      </c>
      <c r="L10" s="152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37">
        <v>40000</v>
      </c>
      <c r="E11" s="37">
        <v>40000</v>
      </c>
      <c r="F11" s="37">
        <v>19200</v>
      </c>
      <c r="G11" s="66">
        <f>40051.73141-24031.03883</f>
        <v>16020.692579999999</v>
      </c>
      <c r="H11" s="66"/>
      <c r="I11" s="28">
        <f t="shared" si="2"/>
        <v>-3179.307420000001</v>
      </c>
      <c r="J11" s="151">
        <f>G11/F11</f>
        <v>0.83441107187499997</v>
      </c>
      <c r="K11" s="151">
        <f t="shared" si="0"/>
        <v>0.4005173145</v>
      </c>
      <c r="L11" s="152">
        <f t="shared" si="1"/>
        <v>-23979.307420000001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37">
        <v>25900</v>
      </c>
      <c r="E12" s="37">
        <v>25900</v>
      </c>
      <c r="F12" s="37">
        <v>8300</v>
      </c>
      <c r="G12" s="66">
        <f>14058.85266-8435.3116</f>
        <v>5623.5410599999996</v>
      </c>
      <c r="H12" s="66"/>
      <c r="I12" s="28">
        <f t="shared" si="2"/>
        <v>-2676.4589400000004</v>
      </c>
      <c r="J12" s="151">
        <f>G12/F12</f>
        <v>0.67753506746987946</v>
      </c>
      <c r="K12" s="151">
        <f t="shared" si="0"/>
        <v>0.21712513745173742</v>
      </c>
      <c r="L12" s="152">
        <f t="shared" si="1"/>
        <v>-20276.45894</v>
      </c>
      <c r="M12" s="25"/>
      <c r="N12" s="12"/>
      <c r="O12" s="12"/>
    </row>
    <row r="13" spans="1:15" s="13" customFormat="1" ht="61.5" x14ac:dyDescent="0.45">
      <c r="A13" s="38"/>
      <c r="B13" s="39">
        <v>11020000</v>
      </c>
      <c r="C13" s="31" t="s">
        <v>20</v>
      </c>
      <c r="D13" s="32">
        <v>959.5</v>
      </c>
      <c r="E13" s="125">
        <f>E14+E15+E23+E16+E17+E18+E19+E20+E21+E22+E24+E25+E26+E27+E28+E29+E30</f>
        <v>65885</v>
      </c>
      <c r="F13" s="125">
        <f>F14+F15+F23+F16+F17+F18+F19+F20+F21+F22+F24+F25+F26+F27+F28+F29+F30</f>
        <v>60288.9</v>
      </c>
      <c r="G13" s="125">
        <f>G14+G15+G23+G16+G17+G18+G19+G20+G21+G22+G24+G25+G26+G27+G28+G29+G30</f>
        <v>70263.726190000016</v>
      </c>
      <c r="H13" s="66"/>
      <c r="I13" s="28">
        <f t="shared" si="2"/>
        <v>9974.8261900000143</v>
      </c>
      <c r="J13" s="151">
        <f>G13/F13</f>
        <v>1.1654504592055919</v>
      </c>
      <c r="K13" s="151">
        <f t="shared" si="0"/>
        <v>1.0664601379676713</v>
      </c>
      <c r="L13" s="152">
        <f t="shared" si="1"/>
        <v>4378.7261900000158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37">
        <v>487.5</v>
      </c>
      <c r="E14" s="37">
        <v>487.5</v>
      </c>
      <c r="F14" s="37">
        <v>201.4</v>
      </c>
      <c r="G14" s="66">
        <v>181.46366</v>
      </c>
      <c r="H14" s="66"/>
      <c r="I14" s="28">
        <f t="shared" si="2"/>
        <v>-19.936340000000001</v>
      </c>
      <c r="J14" s="151">
        <f>G14/F14</f>
        <v>0.90101122144985102</v>
      </c>
      <c r="K14" s="151">
        <f t="shared" si="0"/>
        <v>0.37223314871794871</v>
      </c>
      <c r="L14" s="152">
        <f t="shared" si="1"/>
        <v>-306.03634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37"/>
      <c r="E15" s="37"/>
      <c r="F15" s="37">
        <v>0</v>
      </c>
      <c r="G15" s="66">
        <v>97.692999999999998</v>
      </c>
      <c r="H15" s="66"/>
      <c r="I15" s="28">
        <f t="shared" si="2"/>
        <v>97.692999999999998</v>
      </c>
      <c r="J15" s="151">
        <v>0</v>
      </c>
      <c r="K15" s="151">
        <v>0</v>
      </c>
      <c r="L15" s="152">
        <f t="shared" si="1"/>
        <v>97.692999999999998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37"/>
      <c r="E16" s="37">
        <v>5851.3</v>
      </c>
      <c r="F16" s="37">
        <v>5851.3</v>
      </c>
      <c r="G16" s="66">
        <f>184075.2513-165667.72616</f>
        <v>18407.525140000012</v>
      </c>
      <c r="H16" s="66"/>
      <c r="I16" s="28">
        <f t="shared" si="2"/>
        <v>12556.225140000013</v>
      </c>
      <c r="J16" s="151">
        <v>0</v>
      </c>
      <c r="K16" s="151">
        <f t="shared" si="0"/>
        <v>3.1458864081486184</v>
      </c>
      <c r="L16" s="152">
        <f t="shared" si="1"/>
        <v>12556.225140000013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37"/>
      <c r="E17" s="37">
        <v>7205.9</v>
      </c>
      <c r="F17" s="37">
        <v>7205.9</v>
      </c>
      <c r="G17" s="66">
        <f>52301.24529-47071.12067</f>
        <v>5230.1246200000023</v>
      </c>
      <c r="H17" s="66"/>
      <c r="I17" s="28">
        <f t="shared" si="2"/>
        <v>-1975.7753799999973</v>
      </c>
      <c r="J17" s="151">
        <v>0</v>
      </c>
      <c r="K17" s="151">
        <f t="shared" si="0"/>
        <v>0.72581143507403689</v>
      </c>
      <c r="L17" s="152">
        <f t="shared" si="1"/>
        <v>-1975.7753799999973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37"/>
      <c r="E18" s="37">
        <v>3343.9</v>
      </c>
      <c r="F18" s="37">
        <v>1630.8</v>
      </c>
      <c r="G18" s="66">
        <f>7293.25034-6563.92531</f>
        <v>729.32502999999997</v>
      </c>
      <c r="H18" s="66"/>
      <c r="I18" s="28">
        <f t="shared" si="2"/>
        <v>-901.47496999999998</v>
      </c>
      <c r="J18" s="151">
        <v>0</v>
      </c>
      <c r="K18" s="151">
        <f t="shared" si="0"/>
        <v>0.21810611262298513</v>
      </c>
      <c r="L18" s="152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37"/>
      <c r="E19" s="37">
        <v>652.20000000000005</v>
      </c>
      <c r="F19" s="37">
        <v>318.10000000000002</v>
      </c>
      <c r="G19" s="66">
        <f>19109.66477-17198.69828</f>
        <v>1910.9664899999989</v>
      </c>
      <c r="H19" s="66"/>
      <c r="I19" s="28">
        <f t="shared" si="2"/>
        <v>1592.866489999999</v>
      </c>
      <c r="J19" s="151">
        <v>0</v>
      </c>
      <c r="K19" s="151">
        <f t="shared" si="0"/>
        <v>2.9300314167433283</v>
      </c>
      <c r="L19" s="152">
        <f t="shared" si="1"/>
        <v>1258.7664899999988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37"/>
      <c r="E20" s="37">
        <v>56</v>
      </c>
      <c r="F20" s="37">
        <v>27.3</v>
      </c>
      <c r="G20" s="66">
        <f>1213.3809-1092.0428</f>
        <v>121.33810000000017</v>
      </c>
      <c r="H20" s="66"/>
      <c r="I20" s="28">
        <f t="shared" si="2"/>
        <v>94.038100000000171</v>
      </c>
      <c r="J20" s="151">
        <v>0</v>
      </c>
      <c r="K20" s="151">
        <f t="shared" si="0"/>
        <v>2.1667517857142888</v>
      </c>
      <c r="L20" s="152">
        <f t="shared" si="1"/>
        <v>65.338100000000168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37"/>
      <c r="E21" s="37">
        <v>8307.2999999999993</v>
      </c>
      <c r="F21" s="37">
        <v>8307.2999999999993</v>
      </c>
      <c r="G21" s="66">
        <f>147071.59534-132364.4357</f>
        <v>14707.159639999998</v>
      </c>
      <c r="H21" s="66"/>
      <c r="I21" s="28">
        <f t="shared" si="2"/>
        <v>6399.8596399999988</v>
      </c>
      <c r="J21" s="151">
        <v>0</v>
      </c>
      <c r="K21" s="151">
        <f t="shared" si="0"/>
        <v>1.7703898547061019</v>
      </c>
      <c r="L21" s="152">
        <f t="shared" si="1"/>
        <v>6399.8596399999988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37"/>
      <c r="E22" s="37">
        <v>54.3</v>
      </c>
      <c r="F22" s="37">
        <v>26.5</v>
      </c>
      <c r="G22" s="66">
        <f>1809.06612-1628.15951</f>
        <v>180.90661</v>
      </c>
      <c r="H22" s="66"/>
      <c r="I22" s="28">
        <f t="shared" si="2"/>
        <v>154.40661</v>
      </c>
      <c r="J22" s="151">
        <v>0</v>
      </c>
      <c r="K22" s="151">
        <f t="shared" si="0"/>
        <v>3.3316134438305709</v>
      </c>
      <c r="L22" s="152">
        <f t="shared" si="1"/>
        <v>126.60661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37">
        <v>472</v>
      </c>
      <c r="E23" s="37">
        <v>472</v>
      </c>
      <c r="F23" s="37">
        <v>194</v>
      </c>
      <c r="G23" s="66">
        <f>118.689+2.628</f>
        <v>121.31699999999999</v>
      </c>
      <c r="H23" s="66"/>
      <c r="I23" s="28">
        <f t="shared" si="2"/>
        <v>-72.683000000000007</v>
      </c>
      <c r="J23" s="151">
        <f>G23/F23</f>
        <v>0.62534536082474224</v>
      </c>
      <c r="K23" s="151">
        <f t="shared" si="0"/>
        <v>0.25702754237288133</v>
      </c>
      <c r="L23" s="152">
        <f t="shared" si="1"/>
        <v>-350.68299999999999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37"/>
      <c r="E24" s="37">
        <v>16819.900000000001</v>
      </c>
      <c r="F24" s="37">
        <v>16819.900000000001</v>
      </c>
      <c r="G24" s="66">
        <f>135348.46469-121813.61822</f>
        <v>13534.846469999989</v>
      </c>
      <c r="H24" s="66"/>
      <c r="I24" s="28">
        <f t="shared" si="2"/>
        <v>-3285.053530000012</v>
      </c>
      <c r="J24" s="151">
        <v>0</v>
      </c>
      <c r="K24" s="151">
        <f t="shared" si="0"/>
        <v>0.8046924458528284</v>
      </c>
      <c r="L24" s="152">
        <f t="shared" si="1"/>
        <v>-3285.053530000012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37"/>
      <c r="E25" s="37">
        <v>345.5</v>
      </c>
      <c r="F25" s="37">
        <v>168.5</v>
      </c>
      <c r="G25" s="66">
        <f>3731.635-3358.4715</f>
        <v>373.16350000000011</v>
      </c>
      <c r="H25" s="66"/>
      <c r="I25" s="28">
        <f t="shared" si="2"/>
        <v>204.66350000000011</v>
      </c>
      <c r="J25" s="151">
        <v>0</v>
      </c>
      <c r="K25" s="151">
        <f t="shared" si="0"/>
        <v>1.0800680173661363</v>
      </c>
      <c r="L25" s="152">
        <f t="shared" si="1"/>
        <v>27.663500000000113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37"/>
      <c r="E26" s="37">
        <v>3254.6</v>
      </c>
      <c r="F26" s="37">
        <v>3254.6</v>
      </c>
      <c r="G26" s="66">
        <f>43502.10826-39151.89743</f>
        <v>4350.2108300000036</v>
      </c>
      <c r="H26" s="66"/>
      <c r="I26" s="28">
        <f t="shared" si="2"/>
        <v>1095.6108300000037</v>
      </c>
      <c r="J26" s="151">
        <v>0</v>
      </c>
      <c r="K26" s="151">
        <f t="shared" si="0"/>
        <v>1.3366345572420586</v>
      </c>
      <c r="L26" s="152">
        <f t="shared" si="1"/>
        <v>1095.6108300000037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37"/>
      <c r="E27" s="37">
        <v>1964.8</v>
      </c>
      <c r="F27" s="37">
        <v>958.3</v>
      </c>
      <c r="G27" s="66">
        <f>25426.07253-22883.46528</f>
        <v>2542.6072500000009</v>
      </c>
      <c r="H27" s="66"/>
      <c r="I27" s="28">
        <f t="shared" si="2"/>
        <v>1584.307250000001</v>
      </c>
      <c r="J27" s="151">
        <v>0</v>
      </c>
      <c r="K27" s="151">
        <f t="shared" si="0"/>
        <v>1.29407942284202</v>
      </c>
      <c r="L27" s="152">
        <f t="shared" si="1"/>
        <v>577.80725000000098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37"/>
      <c r="E28" s="37">
        <v>11.6</v>
      </c>
      <c r="F28" s="37">
        <v>5.6</v>
      </c>
      <c r="G28" s="66">
        <f>0.18041-0.16237</f>
        <v>1.804E-2</v>
      </c>
      <c r="H28" s="66"/>
      <c r="I28" s="28">
        <f t="shared" si="2"/>
        <v>-5.5819599999999996</v>
      </c>
      <c r="J28" s="151">
        <v>0</v>
      </c>
      <c r="K28" s="151">
        <f t="shared" si="0"/>
        <v>1.5551724137931036E-3</v>
      </c>
      <c r="L28" s="152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37"/>
      <c r="E29" s="37">
        <v>17007.3</v>
      </c>
      <c r="F29" s="37">
        <v>15294.6</v>
      </c>
      <c r="G29" s="66">
        <f>77136.77967-69423.10166</f>
        <v>7713.6780100000033</v>
      </c>
      <c r="H29" s="66"/>
      <c r="I29" s="28">
        <f t="shared" si="2"/>
        <v>-7580.9219899999971</v>
      </c>
      <c r="J29" s="151">
        <v>0</v>
      </c>
      <c r="K29" s="151">
        <f t="shared" si="0"/>
        <v>0.45355100515660945</v>
      </c>
      <c r="L29" s="152">
        <f t="shared" si="1"/>
        <v>-9293.621989999996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37"/>
      <c r="E30" s="37">
        <v>50.9</v>
      </c>
      <c r="F30" s="37">
        <v>24.8</v>
      </c>
      <c r="G30" s="66">
        <f>613.828-552.4452</f>
        <v>61.382799999999975</v>
      </c>
      <c r="H30" s="66"/>
      <c r="I30" s="28">
        <f t="shared" si="2"/>
        <v>36.582799999999978</v>
      </c>
      <c r="J30" s="151">
        <v>0</v>
      </c>
      <c r="K30" s="151">
        <f t="shared" si="0"/>
        <v>1.2059489194499013</v>
      </c>
      <c r="L30" s="152">
        <f t="shared" si="1"/>
        <v>10.482799999999976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32">
        <v>7626.9</v>
      </c>
      <c r="E31" s="125">
        <f>E32+E34+E39+E42</f>
        <v>7626.9</v>
      </c>
      <c r="F31" s="125">
        <f>F32+F34+F39+F42</f>
        <v>3187.3999999999996</v>
      </c>
      <c r="G31" s="125">
        <f>G32+G34+G39+G42</f>
        <v>3243.3176400000002</v>
      </c>
      <c r="H31" s="66"/>
      <c r="I31" s="28">
        <f t="shared" si="2"/>
        <v>55.917640000000574</v>
      </c>
      <c r="J31" s="151">
        <f>G31/F31</f>
        <v>1.0175433393988833</v>
      </c>
      <c r="K31" s="151">
        <f t="shared" si="0"/>
        <v>0.42524716988553679</v>
      </c>
      <c r="L31" s="152">
        <f t="shared" si="1"/>
        <v>-4383.5823599999994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37">
        <v>0</v>
      </c>
      <c r="E32" s="37"/>
      <c r="F32" s="37">
        <v>0</v>
      </c>
      <c r="G32" s="147">
        <f>G33</f>
        <v>12.844530000000001</v>
      </c>
      <c r="H32" s="66"/>
      <c r="I32" s="28">
        <f t="shared" si="2"/>
        <v>12.844530000000001</v>
      </c>
      <c r="J32" s="151">
        <v>0</v>
      </c>
      <c r="K32" s="151">
        <v>0</v>
      </c>
      <c r="L32" s="152">
        <f t="shared" si="1"/>
        <v>12.844530000000001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37">
        <v>0</v>
      </c>
      <c r="E33" s="37"/>
      <c r="F33" s="37">
        <v>0</v>
      </c>
      <c r="G33" s="66">
        <v>12.844530000000001</v>
      </c>
      <c r="H33" s="66"/>
      <c r="I33" s="28">
        <f t="shared" si="2"/>
        <v>12.844530000000001</v>
      </c>
      <c r="J33" s="151">
        <v>0</v>
      </c>
      <c r="K33" s="151">
        <v>0</v>
      </c>
      <c r="L33" s="152">
        <f t="shared" si="1"/>
        <v>12.844530000000001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43">
        <v>6555.9</v>
      </c>
      <c r="E34" s="43">
        <v>6555.9</v>
      </c>
      <c r="F34" s="147">
        <f>F35+F36+F37+F38</f>
        <v>2460.1</v>
      </c>
      <c r="G34" s="147">
        <f>G35+G36+G37+G38</f>
        <v>3193.1982500000004</v>
      </c>
      <c r="H34" s="66"/>
      <c r="I34" s="28">
        <f t="shared" si="2"/>
        <v>733.09825000000046</v>
      </c>
      <c r="J34" s="151">
        <f>G34/F34</f>
        <v>1.2979953050688999</v>
      </c>
      <c r="K34" s="151">
        <f t="shared" si="0"/>
        <v>0.48707244619350515</v>
      </c>
      <c r="L34" s="152">
        <f t="shared" si="1"/>
        <v>-3362.7017499999993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37">
        <v>6555.4</v>
      </c>
      <c r="E35" s="37">
        <v>6555.4</v>
      </c>
      <c r="F35" s="37">
        <v>2460</v>
      </c>
      <c r="G35" s="66">
        <f>6384.57365-3192.2869</f>
        <v>3192.2867500000002</v>
      </c>
      <c r="H35" s="66"/>
      <c r="I35" s="28">
        <f t="shared" si="2"/>
        <v>732.28675000000021</v>
      </c>
      <c r="J35" s="151">
        <f>G35/F35</f>
        <v>1.2976775406504066</v>
      </c>
      <c r="K35" s="151">
        <f t="shared" si="0"/>
        <v>0.48697055099612541</v>
      </c>
      <c r="L35" s="152">
        <f t="shared" si="1"/>
        <v>-3363.1132499999994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37">
        <v>0.5</v>
      </c>
      <c r="E36" s="37">
        <v>0.5</v>
      </c>
      <c r="F36" s="37">
        <v>0.1</v>
      </c>
      <c r="G36" s="66">
        <v>3.218E-2</v>
      </c>
      <c r="H36" s="66"/>
      <c r="I36" s="28">
        <f t="shared" si="2"/>
        <v>-6.7820000000000005E-2</v>
      </c>
      <c r="J36" s="151">
        <f>G36/F36</f>
        <v>0.32179999999999997</v>
      </c>
      <c r="K36" s="151">
        <f t="shared" si="0"/>
        <v>6.4360000000000001E-2</v>
      </c>
      <c r="L36" s="152">
        <f t="shared" si="1"/>
        <v>-0.46782000000000001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37"/>
      <c r="E37" s="37"/>
      <c r="F37" s="37">
        <v>0</v>
      </c>
      <c r="G37" s="66">
        <f>0.91706-0.45853</f>
        <v>0.45852999999999999</v>
      </c>
      <c r="H37" s="66"/>
      <c r="I37" s="28">
        <f t="shared" si="2"/>
        <v>0.45852999999999999</v>
      </c>
      <c r="J37" s="151">
        <v>0</v>
      </c>
      <c r="K37" s="151">
        <v>0</v>
      </c>
      <c r="L37" s="152">
        <f t="shared" si="1"/>
        <v>0.45852999999999999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37"/>
      <c r="E38" s="37"/>
      <c r="F38" s="37">
        <v>0</v>
      </c>
      <c r="G38" s="66">
        <f>0.84158-0.42079</f>
        <v>0.42079</v>
      </c>
      <c r="H38" s="66"/>
      <c r="I38" s="28">
        <f t="shared" si="2"/>
        <v>0.42079</v>
      </c>
      <c r="J38" s="151">
        <v>0</v>
      </c>
      <c r="K38" s="151">
        <v>0</v>
      </c>
      <c r="L38" s="152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32">
        <v>1070.8</v>
      </c>
      <c r="E39" s="32">
        <v>1070.8</v>
      </c>
      <c r="F39" s="125">
        <f>F41+F40</f>
        <v>727.1</v>
      </c>
      <c r="G39" s="125">
        <f>G41+G40</f>
        <v>36.992750000000001</v>
      </c>
      <c r="H39" s="66"/>
      <c r="I39" s="28">
        <f t="shared" si="2"/>
        <v>-690.10725000000002</v>
      </c>
      <c r="J39" s="151">
        <f>G39/F39</f>
        <v>5.0877114564709121E-2</v>
      </c>
      <c r="K39" s="151">
        <f t="shared" si="0"/>
        <v>3.4546834142697054E-2</v>
      </c>
      <c r="L39" s="152">
        <f t="shared" si="1"/>
        <v>-1033.8072499999998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37">
        <v>165.8</v>
      </c>
      <c r="E40" s="37">
        <v>165.8</v>
      </c>
      <c r="F40" s="37">
        <v>42.1</v>
      </c>
      <c r="G40" s="66">
        <f>144.12193-108.0914</f>
        <v>36.030529999999999</v>
      </c>
      <c r="H40" s="66"/>
      <c r="I40" s="28">
        <f t="shared" si="2"/>
        <v>-6.0694700000000026</v>
      </c>
      <c r="J40" s="151">
        <f>G40/F40</f>
        <v>0.85583206650831345</v>
      </c>
      <c r="K40" s="151">
        <f t="shared" si="0"/>
        <v>0.21731320868516282</v>
      </c>
      <c r="L40" s="152">
        <f t="shared" si="1"/>
        <v>-129.76947000000001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37">
        <v>905</v>
      </c>
      <c r="E41" s="37">
        <v>905</v>
      </c>
      <c r="F41" s="37">
        <v>685</v>
      </c>
      <c r="G41" s="66">
        <v>0.96221999999999996</v>
      </c>
      <c r="H41" s="66"/>
      <c r="I41" s="28">
        <f t="shared" si="2"/>
        <v>-684.03778</v>
      </c>
      <c r="J41" s="151">
        <f>G41/F41</f>
        <v>1.4047007299270073E-3</v>
      </c>
      <c r="K41" s="151">
        <f t="shared" si="0"/>
        <v>1.0632265193370165E-3</v>
      </c>
      <c r="L41" s="152">
        <f t="shared" si="1"/>
        <v>-904.03778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32">
        <v>0.2</v>
      </c>
      <c r="E42" s="32">
        <v>0.2</v>
      </c>
      <c r="F42" s="147">
        <f>F43</f>
        <v>0.2</v>
      </c>
      <c r="G42" s="147">
        <f>G43</f>
        <v>0.28211000000000003</v>
      </c>
      <c r="H42" s="66"/>
      <c r="I42" s="28">
        <f t="shared" si="2"/>
        <v>8.2110000000000016E-2</v>
      </c>
      <c r="J42" s="151">
        <f>G42/F42</f>
        <v>1.41055</v>
      </c>
      <c r="K42" s="151">
        <f t="shared" si="0"/>
        <v>1.41055</v>
      </c>
      <c r="L42" s="152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37"/>
      <c r="E43" s="37"/>
      <c r="F43" s="37">
        <v>0.2</v>
      </c>
      <c r="G43" s="66">
        <v>0.28211000000000003</v>
      </c>
      <c r="H43" s="66"/>
      <c r="I43" s="28">
        <f t="shared" si="2"/>
        <v>8.2110000000000016E-2</v>
      </c>
      <c r="J43" s="151">
        <f>G43/F43</f>
        <v>1.41055</v>
      </c>
      <c r="K43" s="151">
        <v>0</v>
      </c>
      <c r="L43" s="152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32"/>
      <c r="E44" s="125">
        <f>E45</f>
        <v>89700</v>
      </c>
      <c r="F44" s="125">
        <f>F45</f>
        <v>34300</v>
      </c>
      <c r="G44" s="125">
        <f>G45</f>
        <v>32410.533390000001</v>
      </c>
      <c r="H44" s="66"/>
      <c r="I44" s="28">
        <f t="shared" si="2"/>
        <v>-1889.4666099999995</v>
      </c>
      <c r="J44" s="151">
        <v>0</v>
      </c>
      <c r="K44" s="151">
        <f t="shared" si="0"/>
        <v>0.36132144247491638</v>
      </c>
      <c r="L44" s="152">
        <f t="shared" si="1"/>
        <v>-57289.466610000003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37"/>
      <c r="E45" s="37">
        <v>89700</v>
      </c>
      <c r="F45" s="37">
        <v>34300</v>
      </c>
      <c r="G45" s="66">
        <v>32410.533390000001</v>
      </c>
      <c r="H45" s="66"/>
      <c r="I45" s="28">
        <f t="shared" si="2"/>
        <v>-1889.4666099999995</v>
      </c>
      <c r="J45" s="151">
        <v>0</v>
      </c>
      <c r="K45" s="151">
        <f t="shared" si="0"/>
        <v>0.36132144247491638</v>
      </c>
      <c r="L45" s="152">
        <f t="shared" si="1"/>
        <v>-57289.466610000003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32"/>
      <c r="E46" s="32">
        <v>0</v>
      </c>
      <c r="F46" s="125">
        <f>F48</f>
        <v>0</v>
      </c>
      <c r="G46" s="125">
        <f>G48</f>
        <v>9.6140000000000003E-2</v>
      </c>
      <c r="H46" s="66"/>
      <c r="I46" s="28">
        <f t="shared" si="2"/>
        <v>9.6140000000000003E-2</v>
      </c>
      <c r="J46" s="151">
        <v>0</v>
      </c>
      <c r="K46" s="151">
        <v>0</v>
      </c>
      <c r="L46" s="152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32"/>
      <c r="E47" s="32">
        <v>0</v>
      </c>
      <c r="F47" s="125">
        <f>F48</f>
        <v>0</v>
      </c>
      <c r="G47" s="125">
        <f>G48</f>
        <v>9.6140000000000003E-2</v>
      </c>
      <c r="H47" s="66"/>
      <c r="I47" s="28">
        <f t="shared" si="2"/>
        <v>9.6140000000000003E-2</v>
      </c>
      <c r="J47" s="151">
        <v>0</v>
      </c>
      <c r="K47" s="151">
        <v>0</v>
      </c>
      <c r="L47" s="152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37">
        <v>0</v>
      </c>
      <c r="E48" s="37">
        <v>0</v>
      </c>
      <c r="F48" s="37">
        <v>0</v>
      </c>
      <c r="G48" s="66">
        <v>9.6140000000000003E-2</v>
      </c>
      <c r="H48" s="66"/>
      <c r="I48" s="28">
        <f t="shared" si="2"/>
        <v>9.6140000000000003E-2</v>
      </c>
      <c r="J48" s="151">
        <v>0</v>
      </c>
      <c r="K48" s="151">
        <v>0</v>
      </c>
      <c r="L48" s="152">
        <f t="shared" si="1"/>
        <v>9.6140000000000003E-2</v>
      </c>
      <c r="M48" s="25"/>
      <c r="N48" s="12"/>
      <c r="O48" s="12"/>
    </row>
    <row r="49" spans="1:15" s="13" customFormat="1" ht="61.5" x14ac:dyDescent="0.45">
      <c r="A49" s="38"/>
      <c r="B49" s="39">
        <v>18000000</v>
      </c>
      <c r="C49" s="40" t="s">
        <v>56</v>
      </c>
      <c r="D49" s="32">
        <v>365617</v>
      </c>
      <c r="E49" s="125">
        <f>E50+E62+E64+E67+E77</f>
        <v>506933.89999999991</v>
      </c>
      <c r="F49" s="125">
        <f>F50+F62+F64+F67+F77</f>
        <v>224469.6</v>
      </c>
      <c r="G49" s="125">
        <f>G50+G62+G64+G67+G77</f>
        <v>188108.74917999998</v>
      </c>
      <c r="H49" s="66"/>
      <c r="I49" s="28">
        <f t="shared" si="2"/>
        <v>-36360.850820000021</v>
      </c>
      <c r="J49" s="151">
        <f>G49/F49</f>
        <v>0.8380143644395498</v>
      </c>
      <c r="K49" s="151">
        <f t="shared" si="0"/>
        <v>0.37107155228719174</v>
      </c>
      <c r="L49" s="152">
        <f t="shared" si="1"/>
        <v>-318825.15081999992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37">
        <v>360978.2</v>
      </c>
      <c r="E50" s="66">
        <f>E51+E52+E53+E54+E55+E56+E57+E58+E60+E59</f>
        <v>380750.19999999995</v>
      </c>
      <c r="F50" s="66">
        <f>F51+F52+F53+F54+F55+F56+F57+F58+F60+F59</f>
        <v>154410</v>
      </c>
      <c r="G50" s="66">
        <f>G51+G52+G53+G54+G55+G56+G57+G58+G60+G59</f>
        <v>124461.96569</v>
      </c>
      <c r="H50" s="66"/>
      <c r="I50" s="28">
        <f t="shared" si="2"/>
        <v>-29948.034310000003</v>
      </c>
      <c r="J50" s="151">
        <f>G50/F50</f>
        <v>0.80604860883362472</v>
      </c>
      <c r="K50" s="151">
        <f t="shared" si="0"/>
        <v>0.32688614658639709</v>
      </c>
      <c r="L50" s="152">
        <f t="shared" si="1"/>
        <v>-256288.23430999997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37">
        <v>0</v>
      </c>
      <c r="E51" s="37">
        <v>1951</v>
      </c>
      <c r="F51" s="37">
        <v>1951</v>
      </c>
      <c r="G51" s="66">
        <v>940.11990000000003</v>
      </c>
      <c r="H51" s="66"/>
      <c r="I51" s="28">
        <f t="shared" si="2"/>
        <v>-1010.8801</v>
      </c>
      <c r="J51" s="151">
        <v>0</v>
      </c>
      <c r="K51" s="151">
        <f t="shared" si="0"/>
        <v>0.48186565863659664</v>
      </c>
      <c r="L51" s="152">
        <f t="shared" si="1"/>
        <v>-1010.8801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37">
        <v>0</v>
      </c>
      <c r="E52" s="37">
        <v>1315</v>
      </c>
      <c r="F52" s="37">
        <v>0</v>
      </c>
      <c r="G52" s="66">
        <v>-1.23821</v>
      </c>
      <c r="H52" s="66"/>
      <c r="I52" s="28">
        <f t="shared" si="2"/>
        <v>-1.23821</v>
      </c>
      <c r="J52" s="151">
        <v>0</v>
      </c>
      <c r="K52" s="151">
        <f t="shared" si="0"/>
        <v>-9.4160456273764258E-4</v>
      </c>
      <c r="L52" s="152">
        <f t="shared" si="1"/>
        <v>-1316.23821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37">
        <v>0</v>
      </c>
      <c r="E53" s="37">
        <v>0</v>
      </c>
      <c r="F53" s="37">
        <v>0</v>
      </c>
      <c r="G53" s="66">
        <v>11.216810000000001</v>
      </c>
      <c r="H53" s="66"/>
      <c r="I53" s="28">
        <f t="shared" si="2"/>
        <v>11.216810000000001</v>
      </c>
      <c r="J53" s="151">
        <v>0</v>
      </c>
      <c r="K53" s="151">
        <v>0</v>
      </c>
      <c r="L53" s="152">
        <f t="shared" si="1"/>
        <v>11.216810000000001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37">
        <v>0</v>
      </c>
      <c r="E54" s="37">
        <v>8105</v>
      </c>
      <c r="F54" s="37">
        <v>8105</v>
      </c>
      <c r="G54" s="66">
        <v>7044.1491400000004</v>
      </c>
      <c r="H54" s="66"/>
      <c r="I54" s="28">
        <f t="shared" si="2"/>
        <v>-1060.8508599999996</v>
      </c>
      <c r="J54" s="151">
        <v>0</v>
      </c>
      <c r="K54" s="151">
        <f t="shared" si="0"/>
        <v>0.8691115533621222</v>
      </c>
      <c r="L54" s="152">
        <f t="shared" si="1"/>
        <v>-1060.8508599999996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37">
        <v>115874</v>
      </c>
      <c r="E55" s="37">
        <v>115874</v>
      </c>
      <c r="F55" s="37">
        <v>42022</v>
      </c>
      <c r="G55" s="66">
        <v>33880.077380000002</v>
      </c>
      <c r="H55" s="66"/>
      <c r="I55" s="28">
        <f t="shared" si="2"/>
        <v>-8141.9226199999976</v>
      </c>
      <c r="J55" s="151">
        <f>G55/F55</f>
        <v>0.80624618961496364</v>
      </c>
      <c r="K55" s="151">
        <f t="shared" si="0"/>
        <v>0.29238722560712499</v>
      </c>
      <c r="L55" s="152">
        <f t="shared" si="1"/>
        <v>-81993.922619999998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37">
        <v>234996.8</v>
      </c>
      <c r="E56" s="37">
        <v>234996.8</v>
      </c>
      <c r="F56" s="37">
        <v>97550</v>
      </c>
      <c r="G56" s="66">
        <v>79360.481589999996</v>
      </c>
      <c r="H56" s="66"/>
      <c r="I56" s="28">
        <f t="shared" si="2"/>
        <v>-18189.518410000004</v>
      </c>
      <c r="J56" s="151">
        <f>G56/F56</f>
        <v>0.81353645914915429</v>
      </c>
      <c r="K56" s="151">
        <f t="shared" si="0"/>
        <v>0.33770877556630557</v>
      </c>
      <c r="L56" s="152">
        <f t="shared" si="1"/>
        <v>-155636.31841000001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37">
        <v>6136.6</v>
      </c>
      <c r="E57" s="37">
        <v>6136.6</v>
      </c>
      <c r="F57" s="37">
        <v>1295</v>
      </c>
      <c r="G57" s="66">
        <v>954.47005999999999</v>
      </c>
      <c r="H57" s="66"/>
      <c r="I57" s="28">
        <f t="shared" si="2"/>
        <v>-340.52994000000001</v>
      </c>
      <c r="J57" s="151">
        <f>G57/F57</f>
        <v>0.73704251737451731</v>
      </c>
      <c r="K57" s="151">
        <f t="shared" si="0"/>
        <v>0.15553727797151515</v>
      </c>
      <c r="L57" s="152">
        <f t="shared" si="1"/>
        <v>-5182.1299400000007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37">
        <v>3970.8</v>
      </c>
      <c r="E58" s="37">
        <v>3970.8</v>
      </c>
      <c r="F58" s="37">
        <v>733</v>
      </c>
      <c r="G58" s="66">
        <v>558.87050999999997</v>
      </c>
      <c r="H58" s="66"/>
      <c r="I58" s="28">
        <f t="shared" si="2"/>
        <v>-174.12949000000003</v>
      </c>
      <c r="J58" s="151">
        <f>G58/F58</f>
        <v>0.76244271487039561</v>
      </c>
      <c r="K58" s="151">
        <f t="shared" si="0"/>
        <v>0.14074506648534299</v>
      </c>
      <c r="L58" s="152">
        <f t="shared" si="1"/>
        <v>-3411.9294900000004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37">
        <v>0</v>
      </c>
      <c r="E59" s="37">
        <v>5647</v>
      </c>
      <c r="F59" s="37">
        <v>0</v>
      </c>
      <c r="G59" s="66">
        <v>0</v>
      </c>
      <c r="H59" s="66"/>
      <c r="I59" s="28">
        <f t="shared" si="2"/>
        <v>0</v>
      </c>
      <c r="J59" s="151">
        <v>0</v>
      </c>
      <c r="K59" s="151">
        <f t="shared" si="0"/>
        <v>0</v>
      </c>
      <c r="L59" s="152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37">
        <v>0</v>
      </c>
      <c r="E60" s="37">
        <v>2754</v>
      </c>
      <c r="F60" s="37">
        <v>2754</v>
      </c>
      <c r="G60" s="66">
        <v>1713.8185100000001</v>
      </c>
      <c r="H60" s="66"/>
      <c r="I60" s="28">
        <f t="shared" si="2"/>
        <v>-1040.1814899999999</v>
      </c>
      <c r="J60" s="151">
        <v>0</v>
      </c>
      <c r="K60" s="151">
        <f t="shared" si="0"/>
        <v>0.62230156499636891</v>
      </c>
      <c r="L60" s="152">
        <f t="shared" si="1"/>
        <v>-1040.1814899999999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25">
        <f t="shared" ref="D61:E61" si="3">D62+D63</f>
        <v>4098.6000000000004</v>
      </c>
      <c r="E61" s="125">
        <f t="shared" si="3"/>
        <v>4098.6000000000004</v>
      </c>
      <c r="F61" s="125">
        <f>F62+F63</f>
        <v>990</v>
      </c>
      <c r="G61" s="125">
        <f>G62</f>
        <v>432.36926999999997</v>
      </c>
      <c r="H61" s="125"/>
      <c r="I61" s="28">
        <f t="shared" si="2"/>
        <v>-557.63073000000009</v>
      </c>
      <c r="J61" s="151">
        <f>G61/F61</f>
        <v>0.43673663636363635</v>
      </c>
      <c r="K61" s="151">
        <f t="shared" si="0"/>
        <v>0.10549194115063679</v>
      </c>
      <c r="L61" s="152">
        <f t="shared" si="1"/>
        <v>-3666.2307300000002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37">
        <v>4098.6000000000004</v>
      </c>
      <c r="E62" s="37">
        <v>4098.6000000000004</v>
      </c>
      <c r="F62" s="37">
        <v>990</v>
      </c>
      <c r="G62" s="66">
        <v>432.36926999999997</v>
      </c>
      <c r="H62" s="66"/>
      <c r="I62" s="28">
        <f t="shared" si="2"/>
        <v>-557.63073000000009</v>
      </c>
      <c r="J62" s="151">
        <f>G62/F62</f>
        <v>0.43673663636363635</v>
      </c>
      <c r="K62" s="151">
        <f t="shared" si="0"/>
        <v>0.10549194115063679</v>
      </c>
      <c r="L62" s="152">
        <f t="shared" si="1"/>
        <v>-3666.2307300000002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37">
        <v>0</v>
      </c>
      <c r="E63" s="37">
        <v>0</v>
      </c>
      <c r="F63" s="37">
        <v>0</v>
      </c>
      <c r="G63" s="66">
        <v>0</v>
      </c>
      <c r="H63" s="66"/>
      <c r="I63" s="28">
        <f t="shared" si="2"/>
        <v>0</v>
      </c>
      <c r="J63" s="151"/>
      <c r="K63" s="151">
        <v>0</v>
      </c>
      <c r="L63" s="152">
        <f t="shared" si="1"/>
        <v>0</v>
      </c>
      <c r="M63" s="25"/>
      <c r="N63" s="12"/>
      <c r="O63" s="12"/>
    </row>
    <row r="64" spans="1:15" s="13" customFormat="1" ht="61.5" x14ac:dyDescent="0.45">
      <c r="A64" s="38"/>
      <c r="B64" s="30">
        <v>18030000</v>
      </c>
      <c r="C64" s="31" t="s">
        <v>68</v>
      </c>
      <c r="D64" s="32">
        <v>540.20000000000005</v>
      </c>
      <c r="E64" s="32">
        <v>540.20000000000005</v>
      </c>
      <c r="F64" s="125">
        <f>F65+F66</f>
        <v>131.20000000000002</v>
      </c>
      <c r="G64" s="125">
        <f>G65+G66</f>
        <v>166.31198000000001</v>
      </c>
      <c r="H64" s="66"/>
      <c r="I64" s="28">
        <f t="shared" si="2"/>
        <v>35.111979999999988</v>
      </c>
      <c r="J64" s="151">
        <f>G64/F64</f>
        <v>1.2676217987804876</v>
      </c>
      <c r="K64" s="151">
        <f t="shared" si="0"/>
        <v>0.3078711218067382</v>
      </c>
      <c r="L64" s="152">
        <f t="shared" si="1"/>
        <v>-373.88802000000004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37">
        <v>515.4</v>
      </c>
      <c r="E65" s="37">
        <v>515.4</v>
      </c>
      <c r="F65" s="37">
        <v>120.4</v>
      </c>
      <c r="G65" s="66">
        <v>148.00816</v>
      </c>
      <c r="H65" s="66"/>
      <c r="I65" s="28">
        <f t="shared" si="2"/>
        <v>27.608159999999998</v>
      </c>
      <c r="J65" s="151">
        <f>G65/F65</f>
        <v>1.2293036544850497</v>
      </c>
      <c r="K65" s="151">
        <f t="shared" si="0"/>
        <v>0.28717143965851766</v>
      </c>
      <c r="L65" s="152">
        <f t="shared" si="1"/>
        <v>-367.39184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37">
        <v>24.8</v>
      </c>
      <c r="E66" s="37">
        <v>24.8</v>
      </c>
      <c r="F66" s="37">
        <v>10.8</v>
      </c>
      <c r="G66" s="66">
        <v>18.303820000000002</v>
      </c>
      <c r="H66" s="66"/>
      <c r="I66" s="28">
        <f t="shared" si="2"/>
        <v>7.503820000000001</v>
      </c>
      <c r="J66" s="151">
        <f>G66/F66</f>
        <v>1.6947981481481482</v>
      </c>
      <c r="K66" s="151">
        <f t="shared" si="0"/>
        <v>0.73805725806451616</v>
      </c>
      <c r="L66" s="152">
        <f t="shared" si="1"/>
        <v>-6.496179999999999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32"/>
      <c r="E67" s="32"/>
      <c r="F67" s="125">
        <f>F68+F69+F70+F71+F72+F73+F74+F75+F76</f>
        <v>0</v>
      </c>
      <c r="G67" s="125">
        <f>G68+G69+G70+G71+G72+G73+G74+G75+G76</f>
        <v>-1.7956900000000018</v>
      </c>
      <c r="H67" s="66"/>
      <c r="I67" s="28">
        <f t="shared" si="2"/>
        <v>-1.7956900000000018</v>
      </c>
      <c r="J67" s="151">
        <v>0</v>
      </c>
      <c r="K67" s="151">
        <v>0</v>
      </c>
      <c r="L67" s="152">
        <f t="shared" si="1"/>
        <v>-1.7956900000000018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37"/>
      <c r="E68" s="37"/>
      <c r="F68" s="37">
        <v>0</v>
      </c>
      <c r="G68" s="153">
        <v>-2.62866</v>
      </c>
      <c r="H68" s="66"/>
      <c r="I68" s="28">
        <f t="shared" si="2"/>
        <v>-2.62866</v>
      </c>
      <c r="J68" s="151">
        <v>0</v>
      </c>
      <c r="K68" s="151">
        <v>0</v>
      </c>
      <c r="L68" s="152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37"/>
      <c r="E69" s="37"/>
      <c r="F69" s="37">
        <v>0</v>
      </c>
      <c r="G69" s="66">
        <v>4.9596499999999999</v>
      </c>
      <c r="H69" s="66"/>
      <c r="I69" s="28">
        <f t="shared" si="2"/>
        <v>4.9596499999999999</v>
      </c>
      <c r="J69" s="151">
        <v>0</v>
      </c>
      <c r="K69" s="151">
        <v>0</v>
      </c>
      <c r="L69" s="152">
        <f t="shared" si="1"/>
        <v>4.9596499999999999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37"/>
      <c r="E70" s="37"/>
      <c r="F70" s="37">
        <v>0</v>
      </c>
      <c r="G70" s="66">
        <v>0.48699999999999999</v>
      </c>
      <c r="H70" s="66"/>
      <c r="I70" s="28">
        <f t="shared" si="2"/>
        <v>0.48699999999999999</v>
      </c>
      <c r="J70" s="151">
        <v>0</v>
      </c>
      <c r="K70" s="151">
        <v>0</v>
      </c>
      <c r="L70" s="152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37"/>
      <c r="E71" s="37"/>
      <c r="F71" s="37">
        <v>0</v>
      </c>
      <c r="G71" s="66">
        <v>8.3174499999999991</v>
      </c>
      <c r="H71" s="66"/>
      <c r="I71" s="28">
        <f t="shared" si="2"/>
        <v>8.3174499999999991</v>
      </c>
      <c r="J71" s="151">
        <v>0</v>
      </c>
      <c r="K71" s="151">
        <v>0</v>
      </c>
      <c r="L71" s="152">
        <f t="shared" si="4"/>
        <v>8.3174499999999991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37"/>
      <c r="E72" s="37"/>
      <c r="F72" s="37">
        <v>0</v>
      </c>
      <c r="G72" s="66">
        <v>-7.8189900000000003</v>
      </c>
      <c r="H72" s="66"/>
      <c r="I72" s="28">
        <f t="shared" si="2"/>
        <v>-7.8189900000000003</v>
      </c>
      <c r="J72" s="151">
        <v>0</v>
      </c>
      <c r="K72" s="151">
        <v>0</v>
      </c>
      <c r="L72" s="152">
        <f t="shared" si="4"/>
        <v>-7.8189900000000003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37"/>
      <c r="E73" s="37"/>
      <c r="F73" s="37">
        <v>0</v>
      </c>
      <c r="G73" s="66">
        <v>-7.8314700000000004</v>
      </c>
      <c r="H73" s="66"/>
      <c r="I73" s="28">
        <f t="shared" ref="I73:I120" si="5">G73-F73</f>
        <v>-7.8314700000000004</v>
      </c>
      <c r="J73" s="151">
        <v>0</v>
      </c>
      <c r="K73" s="151">
        <v>0</v>
      </c>
      <c r="L73" s="152">
        <f t="shared" si="4"/>
        <v>-7.8314700000000004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37"/>
      <c r="E74" s="37"/>
      <c r="F74" s="37">
        <v>0</v>
      </c>
      <c r="G74" s="66">
        <v>6.0999999999999999E-2</v>
      </c>
      <c r="H74" s="66"/>
      <c r="I74" s="28">
        <f t="shared" si="5"/>
        <v>6.0999999999999999E-2</v>
      </c>
      <c r="J74" s="151">
        <v>0</v>
      </c>
      <c r="K74" s="151">
        <v>0</v>
      </c>
      <c r="L74" s="152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37"/>
      <c r="E75" s="37"/>
      <c r="F75" s="37">
        <v>0</v>
      </c>
      <c r="G75" s="66">
        <v>2.6583299999999999</v>
      </c>
      <c r="H75" s="66"/>
      <c r="I75" s="28">
        <f t="shared" si="5"/>
        <v>2.6583299999999999</v>
      </c>
      <c r="J75" s="151">
        <v>0</v>
      </c>
      <c r="K75" s="151">
        <v>0</v>
      </c>
      <c r="L75" s="152">
        <f t="shared" si="4"/>
        <v>2.6583299999999999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37"/>
      <c r="E76" s="37"/>
      <c r="F76" s="37">
        <v>0</v>
      </c>
      <c r="G76" s="66"/>
      <c r="H76" s="66"/>
      <c r="I76" s="28">
        <f t="shared" si="5"/>
        <v>0</v>
      </c>
      <c r="J76" s="151">
        <v>0</v>
      </c>
      <c r="K76" s="151">
        <v>0</v>
      </c>
      <c r="L76" s="152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37"/>
      <c r="E77" s="125">
        <f>E79+E80+E78+E81</f>
        <v>121544.9</v>
      </c>
      <c r="F77" s="125">
        <f>F79+F80+F78+F81</f>
        <v>68938.399999999994</v>
      </c>
      <c r="G77" s="125">
        <f>G79+G80+G78+G81</f>
        <v>63049.897929999999</v>
      </c>
      <c r="H77" s="66"/>
      <c r="I77" s="28">
        <f t="shared" si="5"/>
        <v>-5888.502069999995</v>
      </c>
      <c r="J77" s="151">
        <v>0</v>
      </c>
      <c r="K77" s="151">
        <f t="shared" ref="K77:K121" si="6">G77/E77</f>
        <v>0.5187375030132898</v>
      </c>
      <c r="L77" s="152">
        <f t="shared" si="4"/>
        <v>-58495.002069999995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37"/>
      <c r="E78" s="37">
        <v>0</v>
      </c>
      <c r="F78" s="37">
        <v>0</v>
      </c>
      <c r="G78" s="66">
        <v>8.5665499999999994</v>
      </c>
      <c r="H78" s="66"/>
      <c r="I78" s="28">
        <f t="shared" si="5"/>
        <v>8.5665499999999994</v>
      </c>
      <c r="J78" s="151">
        <v>0</v>
      </c>
      <c r="K78" s="151">
        <v>0</v>
      </c>
      <c r="L78" s="152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37"/>
      <c r="E79" s="37">
        <v>50570.9</v>
      </c>
      <c r="F79" s="37">
        <v>25258.400000000001</v>
      </c>
      <c r="G79" s="66">
        <v>22513.125950000001</v>
      </c>
      <c r="H79" s="66"/>
      <c r="I79" s="28">
        <f t="shared" si="5"/>
        <v>-2745.27405</v>
      </c>
      <c r="J79" s="151">
        <v>0</v>
      </c>
      <c r="K79" s="151">
        <f t="shared" si="6"/>
        <v>0.44517945992655855</v>
      </c>
      <c r="L79" s="152">
        <f t="shared" si="4"/>
        <v>-28057.77405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37"/>
      <c r="E80" s="37">
        <v>70974</v>
      </c>
      <c r="F80" s="37">
        <v>43680</v>
      </c>
      <c r="G80" s="66">
        <v>40524.505429999997</v>
      </c>
      <c r="H80" s="66"/>
      <c r="I80" s="28">
        <f t="shared" si="5"/>
        <v>-3155.4945700000026</v>
      </c>
      <c r="J80" s="151">
        <v>0</v>
      </c>
      <c r="K80" s="151">
        <f t="shared" si="6"/>
        <v>0.5709767721982697</v>
      </c>
      <c r="L80" s="152">
        <f t="shared" si="4"/>
        <v>-30449.494570000003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37"/>
      <c r="E81" s="37">
        <v>0</v>
      </c>
      <c r="F81" s="37">
        <v>0</v>
      </c>
      <c r="G81" s="66">
        <v>3.7</v>
      </c>
      <c r="H81" s="66"/>
      <c r="I81" s="28">
        <f t="shared" si="5"/>
        <v>3.7</v>
      </c>
      <c r="J81" s="151">
        <v>0</v>
      </c>
      <c r="K81" s="151">
        <v>0</v>
      </c>
      <c r="L81" s="152">
        <f t="shared" si="4"/>
        <v>3.7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32"/>
      <c r="E82" s="32">
        <f>E83</f>
        <v>702.4</v>
      </c>
      <c r="F82" s="125">
        <f>F83</f>
        <v>337.1</v>
      </c>
      <c r="G82" s="125">
        <f>G83</f>
        <v>140.31044</v>
      </c>
      <c r="H82" s="66"/>
      <c r="I82" s="28">
        <f t="shared" si="5"/>
        <v>-196.78956000000002</v>
      </c>
      <c r="J82" s="151">
        <v>0</v>
      </c>
      <c r="K82" s="151">
        <v>0</v>
      </c>
      <c r="L82" s="152">
        <f t="shared" si="4"/>
        <v>-562.08956000000001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32"/>
      <c r="E83" s="32">
        <f>E84+E85+E86</f>
        <v>702.4</v>
      </c>
      <c r="F83" s="125">
        <f>F84+F85+F86</f>
        <v>337.1</v>
      </c>
      <c r="G83" s="125">
        <f>G84+G85+G86</f>
        <v>140.31044</v>
      </c>
      <c r="H83" s="66"/>
      <c r="I83" s="28">
        <f t="shared" si="5"/>
        <v>-196.78956000000002</v>
      </c>
      <c r="J83" s="151">
        <v>0</v>
      </c>
      <c r="K83" s="151">
        <v>0</v>
      </c>
      <c r="L83" s="152">
        <f t="shared" si="4"/>
        <v>-562.08956000000001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37"/>
      <c r="E84" s="37">
        <v>342.1</v>
      </c>
      <c r="F84" s="37">
        <v>164.1</v>
      </c>
      <c r="G84" s="66">
        <f>140.27648-28.05532</f>
        <v>112.22116</v>
      </c>
      <c r="H84" s="66"/>
      <c r="I84" s="28">
        <f t="shared" si="5"/>
        <v>-51.878839999999997</v>
      </c>
      <c r="J84" s="151">
        <v>0</v>
      </c>
      <c r="K84" s="151">
        <v>0</v>
      </c>
      <c r="L84" s="152">
        <f t="shared" si="4"/>
        <v>-229.87884000000003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37"/>
      <c r="E85" s="37">
        <v>243</v>
      </c>
      <c r="F85" s="37">
        <v>116.7</v>
      </c>
      <c r="G85" s="66">
        <f>0.13-0.026</f>
        <v>0.10400000000000001</v>
      </c>
      <c r="H85" s="66"/>
      <c r="I85" s="28">
        <f t="shared" si="5"/>
        <v>-116.596</v>
      </c>
      <c r="J85" s="151">
        <v>0</v>
      </c>
      <c r="K85" s="151">
        <v>0</v>
      </c>
      <c r="L85" s="152">
        <f t="shared" si="4"/>
        <v>-242.89599999999999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37"/>
      <c r="E86" s="37">
        <v>117.3</v>
      </c>
      <c r="F86" s="37">
        <v>56.3</v>
      </c>
      <c r="G86" s="66">
        <f>34.98159-6.99631</f>
        <v>27.985279999999996</v>
      </c>
      <c r="H86" s="66"/>
      <c r="I86" s="28">
        <f t="shared" si="5"/>
        <v>-28.314720000000001</v>
      </c>
      <c r="J86" s="151">
        <v>0</v>
      </c>
      <c r="K86" s="151">
        <v>0</v>
      </c>
      <c r="L86" s="152">
        <f t="shared" si="4"/>
        <v>-89.314719999999994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32">
        <v>18149.8</v>
      </c>
      <c r="E87" s="32">
        <v>18149.8</v>
      </c>
      <c r="F87" s="125">
        <f>F88+F95+F112</f>
        <v>6923.5000000000009</v>
      </c>
      <c r="G87" s="125">
        <f>G88+G95+G112</f>
        <v>10784.366450000001</v>
      </c>
      <c r="H87" s="125"/>
      <c r="I87" s="28">
        <f t="shared" si="5"/>
        <v>3860.8664500000004</v>
      </c>
      <c r="J87" s="151">
        <f t="shared" ref="J87:J121" si="7">G87/F87</f>
        <v>1.5576466310392143</v>
      </c>
      <c r="K87" s="151">
        <f t="shared" si="6"/>
        <v>0.59418651720680127</v>
      </c>
      <c r="L87" s="152">
        <f t="shared" si="4"/>
        <v>-7365.4335499999979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37">
        <v>1906.3</v>
      </c>
      <c r="E88" s="37">
        <v>1906.3</v>
      </c>
      <c r="F88" s="125">
        <f>F89+F92</f>
        <v>615.6</v>
      </c>
      <c r="G88" s="125">
        <f>G89+G92</f>
        <v>1003.49069</v>
      </c>
      <c r="H88" s="66"/>
      <c r="I88" s="28">
        <f t="shared" si="5"/>
        <v>387.89068999999995</v>
      </c>
      <c r="J88" s="151">
        <f t="shared" si="7"/>
        <v>1.6301018356075372</v>
      </c>
      <c r="K88" s="151">
        <f t="shared" si="6"/>
        <v>0.5264075381629334</v>
      </c>
      <c r="L88" s="152">
        <f t="shared" si="4"/>
        <v>-902.80930999999998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37">
        <v>1277.3</v>
      </c>
      <c r="E89" s="37">
        <v>1277.3</v>
      </c>
      <c r="F89" s="66">
        <f>F91+F90</f>
        <v>371.6</v>
      </c>
      <c r="G89" s="66">
        <f>G91+G90</f>
        <v>861.28</v>
      </c>
      <c r="H89" s="66"/>
      <c r="I89" s="28">
        <f t="shared" si="5"/>
        <v>489.67999999999995</v>
      </c>
      <c r="J89" s="151">
        <f t="shared" si="7"/>
        <v>2.317761033369214</v>
      </c>
      <c r="K89" s="151">
        <f t="shared" si="6"/>
        <v>0.67429734596414315</v>
      </c>
      <c r="L89" s="152">
        <f t="shared" si="4"/>
        <v>-416.02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37">
        <v>1277.3</v>
      </c>
      <c r="E90" s="37">
        <v>1277.3</v>
      </c>
      <c r="F90" s="37">
        <v>371.6</v>
      </c>
      <c r="G90" s="66">
        <v>808.68899999999996</v>
      </c>
      <c r="H90" s="66"/>
      <c r="I90" s="28">
        <f t="shared" si="5"/>
        <v>437.08899999999994</v>
      </c>
      <c r="J90" s="151">
        <f t="shared" si="7"/>
        <v>2.1762351991388589</v>
      </c>
      <c r="K90" s="151">
        <f t="shared" si="6"/>
        <v>0.63312377671651143</v>
      </c>
      <c r="L90" s="152">
        <f t="shared" si="4"/>
        <v>-468.61099999999999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37"/>
      <c r="E91" s="37"/>
      <c r="F91" s="37">
        <v>0</v>
      </c>
      <c r="G91" s="66">
        <v>52.591000000000001</v>
      </c>
      <c r="H91" s="66"/>
      <c r="I91" s="28">
        <f t="shared" si="5"/>
        <v>52.591000000000001</v>
      </c>
      <c r="J91" s="151">
        <v>0</v>
      </c>
      <c r="K91" s="151">
        <v>0</v>
      </c>
      <c r="L91" s="152">
        <f t="shared" si="4"/>
        <v>52.591000000000001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125">
        <f>D94+D93</f>
        <v>629</v>
      </c>
      <c r="E92" s="125">
        <f>E94+E93</f>
        <v>629</v>
      </c>
      <c r="F92" s="125">
        <f>F94+F93</f>
        <v>244</v>
      </c>
      <c r="G92" s="125">
        <f>G94+G93</f>
        <v>142.21069</v>
      </c>
      <c r="H92" s="66"/>
      <c r="I92" s="28">
        <f t="shared" si="5"/>
        <v>-101.78931</v>
      </c>
      <c r="J92" s="151">
        <f t="shared" si="7"/>
        <v>0.58283069672131149</v>
      </c>
      <c r="K92" s="151">
        <f t="shared" si="6"/>
        <v>0.22609012718600954</v>
      </c>
      <c r="L92" s="152">
        <f t="shared" si="4"/>
        <v>-486.78931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37">
        <v>6.2</v>
      </c>
      <c r="E93" s="37">
        <v>6.2</v>
      </c>
      <c r="F93" s="66">
        <v>2</v>
      </c>
      <c r="G93" s="66">
        <v>0.48699999999999999</v>
      </c>
      <c r="H93" s="66"/>
      <c r="I93" s="28">
        <f t="shared" si="5"/>
        <v>-1.5129999999999999</v>
      </c>
      <c r="J93" s="151">
        <f t="shared" si="7"/>
        <v>0.24349999999999999</v>
      </c>
      <c r="K93" s="151">
        <f t="shared" si="6"/>
        <v>7.8548387096774183E-2</v>
      </c>
      <c r="L93" s="152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37">
        <v>622.79999999999995</v>
      </c>
      <c r="E94" s="37">
        <v>622.79999999999995</v>
      </c>
      <c r="F94" s="37">
        <v>242</v>
      </c>
      <c r="G94" s="66">
        <f>124.72369+17</f>
        <v>141.72369</v>
      </c>
      <c r="H94" s="66"/>
      <c r="I94" s="28">
        <f t="shared" si="5"/>
        <v>-100.27631</v>
      </c>
      <c r="J94" s="151">
        <f t="shared" si="7"/>
        <v>0.58563508264462816</v>
      </c>
      <c r="K94" s="151">
        <f t="shared" si="6"/>
        <v>0.22755891136801543</v>
      </c>
      <c r="L94" s="152">
        <f t="shared" si="4"/>
        <v>-481.07630999999992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32">
        <v>16081.2</v>
      </c>
      <c r="E95" s="32">
        <v>16081.2</v>
      </c>
      <c r="F95" s="125">
        <f>F96+F105+F107</f>
        <v>6250.3</v>
      </c>
      <c r="G95" s="125">
        <f>G96+G105+G107</f>
        <v>9723.2849700000006</v>
      </c>
      <c r="H95" s="66"/>
      <c r="I95" s="28">
        <f t="shared" si="5"/>
        <v>3472.9849700000004</v>
      </c>
      <c r="J95" s="151">
        <f t="shared" si="7"/>
        <v>1.5556509239556502</v>
      </c>
      <c r="K95" s="151">
        <f t="shared" si="6"/>
        <v>0.60463677897171852</v>
      </c>
      <c r="L95" s="152">
        <f t="shared" si="4"/>
        <v>-6357.9150300000001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149">
        <f>D99+D100+D101+D102+D103+D104+D98+D97</f>
        <v>10982.6</v>
      </c>
      <c r="E96" s="149">
        <f>E99+E100+E101+E102+E103+E104+E98+E97</f>
        <v>10982.6</v>
      </c>
      <c r="F96" s="149">
        <f>F99+F100+F101+F102+F103+F104+F98+F97</f>
        <v>4518.2</v>
      </c>
      <c r="G96" s="149">
        <f>G99+G100+G101+G102+G103+G104+G98+G97</f>
        <v>6899.0460400000002</v>
      </c>
      <c r="H96" s="66"/>
      <c r="I96" s="28">
        <f t="shared" si="5"/>
        <v>2380.8460400000004</v>
      </c>
      <c r="J96" s="151">
        <f t="shared" si="7"/>
        <v>1.5269456951883495</v>
      </c>
      <c r="K96" s="151">
        <f t="shared" si="6"/>
        <v>0.62817966965927918</v>
      </c>
      <c r="L96" s="152">
        <f t="shared" si="4"/>
        <v>-4083.5539600000002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149">
        <v>5</v>
      </c>
      <c r="E97" s="149">
        <v>5</v>
      </c>
      <c r="F97" s="149">
        <v>0</v>
      </c>
      <c r="G97" s="149">
        <v>0</v>
      </c>
      <c r="H97" s="66"/>
      <c r="I97" s="28">
        <f t="shared" si="5"/>
        <v>0</v>
      </c>
      <c r="J97" s="151">
        <v>0</v>
      </c>
      <c r="K97" s="151">
        <f t="shared" si="6"/>
        <v>0</v>
      </c>
      <c r="L97" s="152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37">
        <v>2</v>
      </c>
      <c r="E98" s="37">
        <v>2</v>
      </c>
      <c r="F98" s="37">
        <v>1</v>
      </c>
      <c r="G98" s="66">
        <v>0.78</v>
      </c>
      <c r="H98" s="66"/>
      <c r="I98" s="28">
        <f t="shared" si="5"/>
        <v>-0.21999999999999997</v>
      </c>
      <c r="J98" s="151">
        <f t="shared" si="7"/>
        <v>0.78</v>
      </c>
      <c r="K98" s="151">
        <f t="shared" si="6"/>
        <v>0.39</v>
      </c>
      <c r="L98" s="152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37">
        <v>3.5</v>
      </c>
      <c r="E99" s="37">
        <v>3.5</v>
      </c>
      <c r="F99" s="37">
        <v>1.7</v>
      </c>
      <c r="G99" s="66">
        <v>3.9</v>
      </c>
      <c r="H99" s="66"/>
      <c r="I99" s="28">
        <f t="shared" si="5"/>
        <v>2.2000000000000002</v>
      </c>
      <c r="J99" s="151">
        <f t="shared" si="7"/>
        <v>2.2941176470588234</v>
      </c>
      <c r="K99" s="151">
        <f t="shared" si="6"/>
        <v>1.1142857142857143</v>
      </c>
      <c r="L99" s="152">
        <f t="shared" si="4"/>
        <v>0.39999999999999991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37">
        <v>120</v>
      </c>
      <c r="E100" s="37">
        <v>120</v>
      </c>
      <c r="F100" s="37">
        <v>62</v>
      </c>
      <c r="G100" s="66">
        <v>18.952999999999999</v>
      </c>
      <c r="H100" s="66"/>
      <c r="I100" s="28">
        <f t="shared" si="5"/>
        <v>-43.046999999999997</v>
      </c>
      <c r="J100" s="151">
        <f t="shared" si="7"/>
        <v>0.30569354838709678</v>
      </c>
      <c r="K100" s="151">
        <f t="shared" si="6"/>
        <v>0.15794166666666667</v>
      </c>
      <c r="L100" s="152">
        <f t="shared" si="4"/>
        <v>-101.047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37">
        <v>2000</v>
      </c>
      <c r="E101" s="37">
        <v>2000</v>
      </c>
      <c r="F101" s="37">
        <v>1000</v>
      </c>
      <c r="G101" s="66">
        <v>1001.235</v>
      </c>
      <c r="H101" s="66"/>
      <c r="I101" s="28">
        <f t="shared" si="5"/>
        <v>1.2350000000000136</v>
      </c>
      <c r="J101" s="151">
        <f t="shared" si="7"/>
        <v>1.0012350000000001</v>
      </c>
      <c r="K101" s="151">
        <f t="shared" si="6"/>
        <v>0.50061750000000005</v>
      </c>
      <c r="L101" s="152">
        <f t="shared" si="4"/>
        <v>-998.76499999999999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37">
        <v>7878.1</v>
      </c>
      <c r="E102" s="37">
        <v>7878.1</v>
      </c>
      <c r="F102" s="37">
        <v>3090</v>
      </c>
      <c r="G102" s="66">
        <v>2681.3425499999998</v>
      </c>
      <c r="H102" s="66"/>
      <c r="I102" s="28">
        <f t="shared" si="5"/>
        <v>-408.65745000000015</v>
      </c>
      <c r="J102" s="151">
        <f t="shared" si="7"/>
        <v>0.86774839805825232</v>
      </c>
      <c r="K102" s="151">
        <f t="shared" si="6"/>
        <v>0.34035396224978098</v>
      </c>
      <c r="L102" s="152">
        <f t="shared" si="4"/>
        <v>-5196.757450000001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37">
        <v>974</v>
      </c>
      <c r="E103" s="37">
        <v>974</v>
      </c>
      <c r="F103" s="37">
        <v>363.5</v>
      </c>
      <c r="G103" s="66">
        <v>297.71226000000001</v>
      </c>
      <c r="H103" s="66"/>
      <c r="I103" s="28">
        <f t="shared" si="5"/>
        <v>-65.787739999999985</v>
      </c>
      <c r="J103" s="151">
        <f t="shared" si="7"/>
        <v>0.81901584594222843</v>
      </c>
      <c r="K103" s="151">
        <f t="shared" si="6"/>
        <v>0.30565940451745383</v>
      </c>
      <c r="L103" s="152">
        <f t="shared" si="4"/>
        <v>-676.28773999999999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37"/>
      <c r="E104" s="37">
        <v>0</v>
      </c>
      <c r="F104" s="37">
        <v>0</v>
      </c>
      <c r="G104" s="66">
        <v>2895.1232300000001</v>
      </c>
      <c r="H104" s="66"/>
      <c r="I104" s="28">
        <f t="shared" si="5"/>
        <v>2895.1232300000001</v>
      </c>
      <c r="J104" s="151">
        <v>0</v>
      </c>
      <c r="K104" s="151">
        <v>0</v>
      </c>
      <c r="L104" s="152">
        <f t="shared" si="4"/>
        <v>2895.1232300000001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32">
        <v>4496.8</v>
      </c>
      <c r="E105" s="32">
        <v>4496.8</v>
      </c>
      <c r="F105" s="147">
        <f>F106</f>
        <v>1580</v>
      </c>
      <c r="G105" s="147">
        <f>G106</f>
        <v>1719.0132600000002</v>
      </c>
      <c r="H105" s="66"/>
      <c r="I105" s="28">
        <f t="shared" si="5"/>
        <v>139.01326000000017</v>
      </c>
      <c r="J105" s="151">
        <f t="shared" si="7"/>
        <v>1.0879830759493672</v>
      </c>
      <c r="K105" s="151">
        <f t="shared" si="6"/>
        <v>0.38227478651485503</v>
      </c>
      <c r="L105" s="152">
        <f t="shared" si="4"/>
        <v>-2777.78674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37">
        <v>4496.8</v>
      </c>
      <c r="E106" s="37">
        <v>4496.8</v>
      </c>
      <c r="F106" s="37">
        <v>1580</v>
      </c>
      <c r="G106" s="66">
        <f>1514.76673+204.24653</f>
        <v>1719.0132600000002</v>
      </c>
      <c r="H106" s="66"/>
      <c r="I106" s="28">
        <f t="shared" si="5"/>
        <v>139.01326000000017</v>
      </c>
      <c r="J106" s="151">
        <f t="shared" si="7"/>
        <v>1.0879830759493672</v>
      </c>
      <c r="K106" s="151">
        <f t="shared" si="6"/>
        <v>0.38227478651485503</v>
      </c>
      <c r="L106" s="152">
        <f t="shared" si="4"/>
        <v>-2777.78674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43">
        <v>601.79999999999995</v>
      </c>
      <c r="E107" s="43">
        <v>601.79999999999995</v>
      </c>
      <c r="F107" s="147">
        <f>F108+F109+F110+F111</f>
        <v>152.1</v>
      </c>
      <c r="G107" s="147">
        <f>G108+G109+G110+G111</f>
        <v>1105.22567</v>
      </c>
      <c r="H107" s="66"/>
      <c r="I107" s="28">
        <f t="shared" si="5"/>
        <v>953.12567000000001</v>
      </c>
      <c r="J107" s="151">
        <f t="shared" si="7"/>
        <v>7.2664409598948065</v>
      </c>
      <c r="K107" s="151">
        <f t="shared" si="6"/>
        <v>1.8365331837819876</v>
      </c>
      <c r="L107" s="152">
        <f t="shared" si="4"/>
        <v>503.42567000000008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37">
        <v>549</v>
      </c>
      <c r="E108" s="37">
        <v>549</v>
      </c>
      <c r="F108" s="37">
        <v>132.5</v>
      </c>
      <c r="G108" s="66">
        <v>133.84997999999999</v>
      </c>
      <c r="H108" s="66"/>
      <c r="I108" s="28">
        <f t="shared" si="5"/>
        <v>1.349979999999988</v>
      </c>
      <c r="J108" s="151">
        <f t="shared" si="7"/>
        <v>1.0101885283018868</v>
      </c>
      <c r="K108" s="151">
        <f t="shared" si="6"/>
        <v>0.24380688524590161</v>
      </c>
      <c r="L108" s="152">
        <f t="shared" si="4"/>
        <v>-415.15002000000004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37">
        <v>0</v>
      </c>
      <c r="E109" s="37">
        <v>0</v>
      </c>
      <c r="F109" s="37">
        <v>0</v>
      </c>
      <c r="G109" s="66">
        <v>236.80519000000001</v>
      </c>
      <c r="H109" s="66"/>
      <c r="I109" s="28">
        <f t="shared" si="5"/>
        <v>236.80519000000001</v>
      </c>
      <c r="J109" s="151">
        <v>0</v>
      </c>
      <c r="K109" s="151">
        <v>0</v>
      </c>
      <c r="L109" s="152">
        <f t="shared" si="4"/>
        <v>236.80519000000001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37">
        <v>0</v>
      </c>
      <c r="E110" s="37">
        <v>0</v>
      </c>
      <c r="F110" s="37">
        <v>0</v>
      </c>
      <c r="G110" s="66">
        <v>17.254270000000002</v>
      </c>
      <c r="H110" s="66"/>
      <c r="I110" s="28">
        <f t="shared" si="5"/>
        <v>17.254270000000002</v>
      </c>
      <c r="J110" s="151">
        <v>0</v>
      </c>
      <c r="K110" s="151">
        <v>0</v>
      </c>
      <c r="L110" s="152">
        <f t="shared" si="4"/>
        <v>17.254270000000002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37">
        <v>52.8</v>
      </c>
      <c r="E111" s="37">
        <v>52.8</v>
      </c>
      <c r="F111" s="37">
        <v>19.600000000000001</v>
      </c>
      <c r="G111" s="66">
        <v>717.31623000000002</v>
      </c>
      <c r="H111" s="66"/>
      <c r="I111" s="28">
        <f t="shared" si="5"/>
        <v>697.71623</v>
      </c>
      <c r="J111" s="151">
        <f t="shared" si="7"/>
        <v>36.597766836734692</v>
      </c>
      <c r="K111" s="151">
        <f t="shared" si="6"/>
        <v>13.585534659090911</v>
      </c>
      <c r="L111" s="152">
        <f t="shared" si="4"/>
        <v>664.51623000000006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43">
        <v>162.30000000000001</v>
      </c>
      <c r="E112" s="43">
        <v>162.30000000000001</v>
      </c>
      <c r="F112" s="147">
        <f>F114+F113</f>
        <v>57.6</v>
      </c>
      <c r="G112" s="147">
        <f>G114+G113</f>
        <v>57.590789999999998</v>
      </c>
      <c r="H112" s="149"/>
      <c r="I112" s="28">
        <f t="shared" si="5"/>
        <v>-9.2100000000030491E-3</v>
      </c>
      <c r="J112" s="151">
        <f t="shared" si="7"/>
        <v>0.99984010416666658</v>
      </c>
      <c r="K112" s="151">
        <f t="shared" si="6"/>
        <v>0.35484158964879847</v>
      </c>
      <c r="L112" s="152">
        <f t="shared" si="4"/>
        <v>-104.70921000000001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37">
        <v>20</v>
      </c>
      <c r="E113" s="37">
        <v>20</v>
      </c>
      <c r="F113" s="37">
        <v>0</v>
      </c>
      <c r="G113" s="66">
        <v>0</v>
      </c>
      <c r="H113" s="66"/>
      <c r="I113" s="28">
        <f t="shared" si="5"/>
        <v>0</v>
      </c>
      <c r="J113" s="151">
        <v>0</v>
      </c>
      <c r="K113" s="151">
        <f t="shared" si="6"/>
        <v>0</v>
      </c>
      <c r="L113" s="152">
        <f t="shared" si="4"/>
        <v>-20</v>
      </c>
      <c r="M113" s="25"/>
      <c r="N113" s="12"/>
      <c r="O113" s="12"/>
    </row>
    <row r="114" spans="1:15" s="13" customFormat="1" ht="61.5" x14ac:dyDescent="0.45">
      <c r="A114" s="38"/>
      <c r="B114" s="35">
        <v>24060000</v>
      </c>
      <c r="C114" s="45" t="s">
        <v>118</v>
      </c>
      <c r="D114" s="37">
        <v>142.30000000000001</v>
      </c>
      <c r="E114" s="37">
        <v>142.30000000000001</v>
      </c>
      <c r="F114" s="66">
        <f>F115</f>
        <v>57.6</v>
      </c>
      <c r="G114" s="66">
        <f>G115</f>
        <v>57.590789999999998</v>
      </c>
      <c r="H114" s="66"/>
      <c r="I114" s="28">
        <f t="shared" si="5"/>
        <v>-9.2100000000030491E-3</v>
      </c>
      <c r="J114" s="151">
        <f t="shared" si="7"/>
        <v>0.99984010416666658</v>
      </c>
      <c r="K114" s="151">
        <f t="shared" si="6"/>
        <v>0.40471391426563591</v>
      </c>
      <c r="L114" s="152">
        <f t="shared" si="4"/>
        <v>-84.709210000000013</v>
      </c>
      <c r="M114" s="25"/>
      <c r="N114" s="12"/>
      <c r="O114" s="12"/>
    </row>
    <row r="115" spans="1:15" s="13" customFormat="1" ht="61.5" x14ac:dyDescent="0.45">
      <c r="A115" s="38"/>
      <c r="B115" s="35">
        <v>24060300</v>
      </c>
      <c r="C115" s="45" t="s">
        <v>119</v>
      </c>
      <c r="D115" s="47">
        <v>142.30000000000001</v>
      </c>
      <c r="E115" s="47">
        <v>142.30000000000001</v>
      </c>
      <c r="F115" s="47">
        <v>57.6</v>
      </c>
      <c r="G115" s="139">
        <v>57.590789999999998</v>
      </c>
      <c r="H115" s="66"/>
      <c r="I115" s="28">
        <f t="shared" si="5"/>
        <v>-9.2100000000030491E-3</v>
      </c>
      <c r="J115" s="151">
        <f t="shared" si="7"/>
        <v>0.99984010416666658</v>
      </c>
      <c r="K115" s="151">
        <f t="shared" si="6"/>
        <v>0.40471391426563591</v>
      </c>
      <c r="L115" s="152">
        <f t="shared" si="4"/>
        <v>-84.709210000000013</v>
      </c>
      <c r="M115" s="25"/>
      <c r="N115" s="12"/>
      <c r="O115" s="12"/>
    </row>
    <row r="116" spans="1:15" s="13" customFormat="1" ht="61.5" x14ac:dyDescent="0.45">
      <c r="A116" s="38"/>
      <c r="B116" s="39">
        <v>30000000</v>
      </c>
      <c r="C116" s="49" t="s">
        <v>120</v>
      </c>
      <c r="D116" s="32">
        <v>48.4</v>
      </c>
      <c r="E116" s="32">
        <v>48.4</v>
      </c>
      <c r="F116" s="125">
        <f>F117</f>
        <v>23</v>
      </c>
      <c r="G116" s="125">
        <f>G117</f>
        <v>13.117800000000001</v>
      </c>
      <c r="H116" s="154"/>
      <c r="I116" s="28">
        <f t="shared" si="5"/>
        <v>-9.8821999999999992</v>
      </c>
      <c r="J116" s="151">
        <f t="shared" si="7"/>
        <v>0.57033913043478268</v>
      </c>
      <c r="K116" s="151">
        <f t="shared" si="6"/>
        <v>0.27102892561983472</v>
      </c>
      <c r="L116" s="152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51">
        <v>48.4</v>
      </c>
      <c r="E117" s="51">
        <v>48.4</v>
      </c>
      <c r="F117" s="61">
        <f>F118</f>
        <v>23</v>
      </c>
      <c r="G117" s="61">
        <f>G118</f>
        <v>13.117800000000001</v>
      </c>
      <c r="H117" s="66"/>
      <c r="I117" s="28">
        <f t="shared" si="5"/>
        <v>-9.8821999999999992</v>
      </c>
      <c r="J117" s="151">
        <f t="shared" si="7"/>
        <v>0.57033913043478268</v>
      </c>
      <c r="K117" s="151">
        <f t="shared" si="6"/>
        <v>0.27102892561983472</v>
      </c>
      <c r="L117" s="152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56">
        <v>48.4</v>
      </c>
      <c r="E118" s="56">
        <v>48.4</v>
      </c>
      <c r="F118" s="56">
        <v>23</v>
      </c>
      <c r="G118" s="155">
        <v>13.117800000000001</v>
      </c>
      <c r="H118" s="155"/>
      <c r="I118" s="28">
        <f t="shared" si="5"/>
        <v>-9.8821999999999992</v>
      </c>
      <c r="J118" s="151">
        <f t="shared" si="7"/>
        <v>0.57033913043478268</v>
      </c>
      <c r="K118" s="151">
        <f t="shared" si="6"/>
        <v>0.27102892561983472</v>
      </c>
      <c r="L118" s="152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61"/>
      <c r="E119" s="61"/>
      <c r="F119" s="61"/>
      <c r="G119" s="61"/>
      <c r="H119" s="61"/>
      <c r="I119" s="28">
        <f t="shared" si="5"/>
        <v>0</v>
      </c>
      <c r="J119" s="151" t="e">
        <f t="shared" si="7"/>
        <v>#DIV/0!</v>
      </c>
      <c r="K119" s="151" t="e">
        <f t="shared" si="6"/>
        <v>#DIV/0!</v>
      </c>
      <c r="L119" s="152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39"/>
      <c r="E120" s="139"/>
      <c r="F120" s="139"/>
      <c r="G120" s="156"/>
      <c r="H120" s="156"/>
      <c r="I120" s="157">
        <f t="shared" si="5"/>
        <v>0</v>
      </c>
      <c r="J120" s="158" t="e">
        <f t="shared" si="7"/>
        <v>#DIV/0!</v>
      </c>
      <c r="K120" s="158" t="e">
        <f t="shared" si="6"/>
        <v>#DIV/0!</v>
      </c>
      <c r="L120" s="159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72">
        <v>1096783</v>
      </c>
      <c r="E121" s="150">
        <f>E5+E87+E116</f>
        <v>1393427.7999999998</v>
      </c>
      <c r="F121" s="150">
        <f>F5+F87+F116</f>
        <v>631129.5</v>
      </c>
      <c r="G121" s="150">
        <f>G5+G87+G116</f>
        <v>585439.97696999996</v>
      </c>
      <c r="H121" s="160"/>
      <c r="I121" s="161">
        <f>G121-F121</f>
        <v>-45689.52303000004</v>
      </c>
      <c r="J121" s="162">
        <f t="shared" si="7"/>
        <v>0.9276067383476766</v>
      </c>
      <c r="K121" s="162">
        <f t="shared" si="6"/>
        <v>0.42014374693112916</v>
      </c>
      <c r="L121" s="163">
        <f>G121-E121</f>
        <v>-807987.82302999985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zoomScale="30" zoomScaleNormal="50" zoomScaleSheetLayoutView="30" workbookViewId="0">
      <selection activeCell="G23" sqref="G23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">
      <c r="A1" s="1"/>
      <c r="B1" s="2"/>
      <c r="C1" s="212" t="s">
        <v>135</v>
      </c>
      <c r="D1" s="212"/>
      <c r="E1" s="212"/>
      <c r="F1" s="212"/>
      <c r="G1" s="212"/>
      <c r="H1" s="212"/>
      <c r="I1" s="212"/>
      <c r="J1" s="213"/>
      <c r="K1" s="213"/>
      <c r="L1" s="213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136</v>
      </c>
      <c r="G3" s="10" t="s">
        <v>7</v>
      </c>
      <c r="H3" s="11" t="s">
        <v>7</v>
      </c>
      <c r="I3" s="197" t="s">
        <v>132</v>
      </c>
      <c r="J3" s="197" t="s">
        <v>133</v>
      </c>
      <c r="K3" s="197" t="s">
        <v>138</v>
      </c>
      <c r="L3" s="198" t="s">
        <v>137</v>
      </c>
      <c r="M3" s="12"/>
      <c r="N3" s="12"/>
      <c r="O3" s="12"/>
    </row>
    <row r="4" spans="1:15" s="13" customFormat="1" ht="81.75" customHeight="1" x14ac:dyDescent="0.4">
      <c r="A4" s="203"/>
      <c r="B4" s="206"/>
      <c r="C4" s="208"/>
      <c r="D4" s="209"/>
      <c r="E4" s="209"/>
      <c r="F4" s="211"/>
      <c r="G4" s="14">
        <v>42118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9">
        <v>1078584.8</v>
      </c>
      <c r="E5" s="19">
        <v>1374527.2</v>
      </c>
      <c r="F5" s="20">
        <f>F6+F31+F44+F46+F49+F82</f>
        <v>429171.1</v>
      </c>
      <c r="G5" s="20">
        <f>G6+G31+G44+G46+G49+G82</f>
        <v>491663.61304999999</v>
      </c>
      <c r="H5" s="21"/>
      <c r="I5" s="22">
        <f>G5-F5</f>
        <v>62492.513050000009</v>
      </c>
      <c r="J5" s="23">
        <f>G5/F5</f>
        <v>1.145612118453456</v>
      </c>
      <c r="K5" s="23">
        <f>G5/E5</f>
        <v>0.35769653234217558</v>
      </c>
      <c r="L5" s="24">
        <f>G5-E5</f>
        <v>-882863.58694999991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19">
        <v>705340.9</v>
      </c>
      <c r="E6" s="19">
        <v>770266.4</v>
      </c>
      <c r="F6" s="20">
        <f>F7+F13</f>
        <v>249568.59999999998</v>
      </c>
      <c r="G6" s="20">
        <f>G7+G13</f>
        <v>306778.51245000004</v>
      </c>
      <c r="H6" s="21"/>
      <c r="I6" s="22">
        <f>G6-F6</f>
        <v>57209.912450000062</v>
      </c>
      <c r="J6" s="23">
        <f>G6/F6</f>
        <v>1.2292352180923405</v>
      </c>
      <c r="K6" s="23">
        <f t="shared" ref="K6:K66" si="0">G6/E6</f>
        <v>0.39827585942993232</v>
      </c>
      <c r="L6" s="24">
        <f t="shared" ref="L6:L69" si="1">G6-E6</f>
        <v>-463487.88754999998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32">
        <f>(SUM([1]Голосіїв!O12))/1000</f>
        <v>704381.4</v>
      </c>
      <c r="E7" s="32">
        <v>704381.4</v>
      </c>
      <c r="F7" s="33">
        <f>F8+F9+F11+F12+F10</f>
        <v>214800</v>
      </c>
      <c r="G7" s="33">
        <f>G8+G9+G11+G12+G10</f>
        <v>241520.55282000004</v>
      </c>
      <c r="H7" s="34">
        <f>('[1]класифікація (2011)'!C8-'[1]класифікація (2011)'!C12-'[1]класифікація (2011)'!C24)/1000</f>
        <v>93520.299014999997</v>
      </c>
      <c r="I7" s="22">
        <f>G7-F7</f>
        <v>26720.552820000041</v>
      </c>
      <c r="J7" s="23">
        <f>G7/F7</f>
        <v>1.124397359497207</v>
      </c>
      <c r="K7" s="23">
        <f t="shared" si="0"/>
        <v>0.3428832062005045</v>
      </c>
      <c r="L7" s="24">
        <f t="shared" si="1"/>
        <v>-462860.84717999998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37">
        <v>631281.4</v>
      </c>
      <c r="E8" s="37">
        <v>631281.4</v>
      </c>
      <c r="F8" s="37">
        <v>192800</v>
      </c>
      <c r="G8" s="34">
        <f>550457.91448-330274.7487</f>
        <v>220183.16578000004</v>
      </c>
      <c r="H8" s="34"/>
      <c r="I8" s="22">
        <f t="shared" ref="I8:I72" si="2">G8-F8</f>
        <v>27383.165780000039</v>
      </c>
      <c r="J8" s="23">
        <f>G8/F8</f>
        <v>1.1420288681535271</v>
      </c>
      <c r="K8" s="23">
        <f t="shared" si="0"/>
        <v>0.34878766550067852</v>
      </c>
      <c r="L8" s="24">
        <f t="shared" si="1"/>
        <v>-411098.23421999998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37">
        <v>7200</v>
      </c>
      <c r="E9" s="37">
        <v>7200</v>
      </c>
      <c r="F9" s="37">
        <v>2700</v>
      </c>
      <c r="G9" s="34">
        <f>5769.10496-3461.46299</f>
        <v>2307.6419699999997</v>
      </c>
      <c r="H9" s="34"/>
      <c r="I9" s="22">
        <f t="shared" si="2"/>
        <v>-392.35803000000033</v>
      </c>
      <c r="J9" s="23">
        <f>G9/F9</f>
        <v>0.85468221111111098</v>
      </c>
      <c r="K9" s="23">
        <f t="shared" si="0"/>
        <v>0.32050582916666664</v>
      </c>
      <c r="L9" s="24">
        <f t="shared" si="1"/>
        <v>-4892.3580300000003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37">
        <v>0</v>
      </c>
      <c r="E10" s="37">
        <v>0</v>
      </c>
      <c r="F10" s="37">
        <v>0</v>
      </c>
      <c r="G10" s="34">
        <f>0.51891-0.31134</f>
        <v>0.20756999999999998</v>
      </c>
      <c r="H10" s="34"/>
      <c r="I10" s="22">
        <f t="shared" si="2"/>
        <v>0.20756999999999998</v>
      </c>
      <c r="J10" s="23">
        <v>0</v>
      </c>
      <c r="K10" s="23">
        <v>0</v>
      </c>
      <c r="L10" s="24">
        <f t="shared" si="1"/>
        <v>0.20756999999999998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37">
        <v>40000</v>
      </c>
      <c r="E11" s="37">
        <v>40000</v>
      </c>
      <c r="F11" s="37">
        <v>13000</v>
      </c>
      <c r="G11" s="34">
        <f>35899.87542-21539.92523</f>
        <v>14359.950189999996</v>
      </c>
      <c r="H11" s="34"/>
      <c r="I11" s="22">
        <f t="shared" si="2"/>
        <v>1359.9501899999959</v>
      </c>
      <c r="J11" s="23">
        <f>G11/F11</f>
        <v>1.1046115530769227</v>
      </c>
      <c r="K11" s="23">
        <f t="shared" si="0"/>
        <v>0.35899875474999987</v>
      </c>
      <c r="L11" s="24">
        <f t="shared" si="1"/>
        <v>-25640.049810000004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37">
        <v>25900</v>
      </c>
      <c r="E12" s="37">
        <v>25900</v>
      </c>
      <c r="F12" s="37">
        <v>6300</v>
      </c>
      <c r="G12" s="34">
        <f>11673.9683-7004.38099</f>
        <v>4669.5873100000008</v>
      </c>
      <c r="H12" s="34"/>
      <c r="I12" s="22">
        <f t="shared" si="2"/>
        <v>-1630.4126899999992</v>
      </c>
      <c r="J12" s="23">
        <f>G12/F12</f>
        <v>0.74120433492063509</v>
      </c>
      <c r="K12" s="23">
        <f t="shared" si="0"/>
        <v>0.18029294633204637</v>
      </c>
      <c r="L12" s="24">
        <f t="shared" si="1"/>
        <v>-21230.412689999997</v>
      </c>
      <c r="M12" s="25"/>
      <c r="N12" s="12"/>
      <c r="O12" s="12"/>
    </row>
    <row r="13" spans="1:15" s="13" customFormat="1" ht="61.5" x14ac:dyDescent="0.45">
      <c r="A13" s="38"/>
      <c r="B13" s="39">
        <v>11020000</v>
      </c>
      <c r="C13" s="31" t="s">
        <v>20</v>
      </c>
      <c r="D13" s="32">
        <v>959.5</v>
      </c>
      <c r="E13" s="33">
        <f>E14+E15+E23+E16+E17+E18+E19+E20+E21+E22+E24+E25+E26+E27+E28+E29+E30</f>
        <v>65885</v>
      </c>
      <c r="F13" s="33">
        <f>F14+F15+F23+F16+F17+F18+F19+F20+F21+F22+F24+F25+F26+F27+F28+F29+F30</f>
        <v>34768.599999999991</v>
      </c>
      <c r="G13" s="33">
        <f>G14+G15+G23+G16+G17+G18+G19+G20+G21+G22+G24+G25+G26+G27+G28+G29+G30</f>
        <v>65257.959630000012</v>
      </c>
      <c r="H13" s="34"/>
      <c r="I13" s="22">
        <f t="shared" si="2"/>
        <v>30489.359630000021</v>
      </c>
      <c r="J13" s="23">
        <f>G13/F13</f>
        <v>1.8769222698066654</v>
      </c>
      <c r="K13" s="23">
        <f t="shared" si="0"/>
        <v>0.99048280534264266</v>
      </c>
      <c r="L13" s="24">
        <f t="shared" si="1"/>
        <v>-627.04036999998789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37">
        <v>487.5</v>
      </c>
      <c r="E14" s="37">
        <v>487.5</v>
      </c>
      <c r="F14" s="37">
        <v>179.4</v>
      </c>
      <c r="G14" s="34">
        <v>123.44065999999999</v>
      </c>
      <c r="H14" s="34"/>
      <c r="I14" s="22">
        <f t="shared" si="2"/>
        <v>-55.959340000000012</v>
      </c>
      <c r="J14" s="23">
        <f>G14/F14</f>
        <v>0.68807502787067998</v>
      </c>
      <c r="K14" s="23">
        <f t="shared" si="0"/>
        <v>0.25321161025641026</v>
      </c>
      <c r="L14" s="24">
        <f t="shared" si="1"/>
        <v>-364.05934000000002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37"/>
      <c r="E15" s="37"/>
      <c r="F15" s="37"/>
      <c r="G15" s="34">
        <v>97.257000000000005</v>
      </c>
      <c r="H15" s="34"/>
      <c r="I15" s="22">
        <f t="shared" si="2"/>
        <v>97.257000000000005</v>
      </c>
      <c r="J15" s="23">
        <v>0</v>
      </c>
      <c r="K15" s="23">
        <v>0</v>
      </c>
      <c r="L15" s="24">
        <f t="shared" si="1"/>
        <v>97.257000000000005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37"/>
      <c r="E16" s="37">
        <v>5851.3</v>
      </c>
      <c r="F16" s="37">
        <v>2380.8000000000002</v>
      </c>
      <c r="G16" s="34">
        <f>184006.6313-165605.96816</f>
        <v>18400.663140000019</v>
      </c>
      <c r="H16" s="34"/>
      <c r="I16" s="22">
        <f t="shared" si="2"/>
        <v>16019.863140000019</v>
      </c>
      <c r="J16" s="23">
        <v>0</v>
      </c>
      <c r="K16" s="23">
        <f t="shared" si="0"/>
        <v>3.1447136773024829</v>
      </c>
      <c r="L16" s="24">
        <f t="shared" si="1"/>
        <v>12549.363140000019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37"/>
      <c r="E17" s="37">
        <v>7205.9</v>
      </c>
      <c r="F17" s="37">
        <v>2932</v>
      </c>
      <c r="G17" s="34">
        <f>50080.44103-45072.39685</f>
        <v>5008.0441800000044</v>
      </c>
      <c r="H17" s="34"/>
      <c r="I17" s="22">
        <f t="shared" si="2"/>
        <v>2076.0441800000044</v>
      </c>
      <c r="J17" s="23">
        <v>0</v>
      </c>
      <c r="K17" s="23">
        <f t="shared" si="0"/>
        <v>0.69499218418240671</v>
      </c>
      <c r="L17" s="24">
        <f t="shared" si="1"/>
        <v>-2197.8558199999952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37"/>
      <c r="E18" s="37">
        <v>3343.9</v>
      </c>
      <c r="F18" s="37">
        <v>1360.5</v>
      </c>
      <c r="G18" s="34">
        <f>7293.25034-6563.92531</f>
        <v>729.32502999999997</v>
      </c>
      <c r="H18" s="34"/>
      <c r="I18" s="22">
        <f t="shared" si="2"/>
        <v>-631.17497000000003</v>
      </c>
      <c r="J18" s="23">
        <v>0</v>
      </c>
      <c r="K18" s="23">
        <f t="shared" si="0"/>
        <v>0.21810611262298513</v>
      </c>
      <c r="L18" s="24">
        <f t="shared" si="1"/>
        <v>-2614.5749700000001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37"/>
      <c r="E19" s="37">
        <v>652.20000000000005</v>
      </c>
      <c r="F19" s="37">
        <v>265.39999999999998</v>
      </c>
      <c r="G19" s="34">
        <f>18979.36984-17081.43285</f>
        <v>1897.9369899999983</v>
      </c>
      <c r="H19" s="34"/>
      <c r="I19" s="22">
        <f t="shared" si="2"/>
        <v>1632.5369899999982</v>
      </c>
      <c r="J19" s="23">
        <v>0</v>
      </c>
      <c r="K19" s="23">
        <f t="shared" si="0"/>
        <v>2.910053649187363</v>
      </c>
      <c r="L19" s="24">
        <f t="shared" si="1"/>
        <v>1245.7369899999983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37"/>
      <c r="E20" s="37">
        <v>56</v>
      </c>
      <c r="F20" s="37">
        <v>22.8</v>
      </c>
      <c r="G20" s="34">
        <f>1201.95203-1081.75682</f>
        <v>120.19520999999986</v>
      </c>
      <c r="H20" s="34"/>
      <c r="I20" s="22">
        <f t="shared" si="2"/>
        <v>97.395209999999864</v>
      </c>
      <c r="J20" s="23">
        <v>0</v>
      </c>
      <c r="K20" s="23">
        <f t="shared" si="0"/>
        <v>2.1463430357142834</v>
      </c>
      <c r="L20" s="24">
        <f t="shared" si="1"/>
        <v>64.195209999999861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37"/>
      <c r="E21" s="37">
        <v>8307.2999999999993</v>
      </c>
      <c r="F21" s="37">
        <v>3380.1</v>
      </c>
      <c r="G21" s="34">
        <f>145207.26082-130686.53464</f>
        <v>14520.726179999998</v>
      </c>
      <c r="H21" s="34"/>
      <c r="I21" s="22">
        <f t="shared" si="2"/>
        <v>11140.626179999997</v>
      </c>
      <c r="J21" s="23">
        <v>0</v>
      </c>
      <c r="K21" s="23">
        <f t="shared" si="0"/>
        <v>1.7479477303094868</v>
      </c>
      <c r="L21" s="24">
        <f t="shared" si="1"/>
        <v>6213.4261799999986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37"/>
      <c r="E22" s="37">
        <v>54.3</v>
      </c>
      <c r="F22" s="37">
        <v>22.1</v>
      </c>
      <c r="G22" s="34">
        <f>1812.50012-1631.25011</f>
        <v>181.25000999999997</v>
      </c>
      <c r="H22" s="34"/>
      <c r="I22" s="22">
        <f t="shared" si="2"/>
        <v>159.15000999999998</v>
      </c>
      <c r="J22" s="23">
        <v>0</v>
      </c>
      <c r="K22" s="23">
        <f t="shared" si="0"/>
        <v>3.3379375690607733</v>
      </c>
      <c r="L22" s="24">
        <f t="shared" si="1"/>
        <v>126.95000999999998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37">
        <v>472</v>
      </c>
      <c r="E23" s="37">
        <v>472</v>
      </c>
      <c r="F23" s="37">
        <v>172</v>
      </c>
      <c r="G23" s="34">
        <f>118.689+1.258</f>
        <v>119.94699999999999</v>
      </c>
      <c r="H23" s="34"/>
      <c r="I23" s="22">
        <f t="shared" si="2"/>
        <v>-52.053000000000011</v>
      </c>
      <c r="J23" s="23">
        <f>G23/F23</f>
        <v>0.69736627906976734</v>
      </c>
      <c r="K23" s="23">
        <f t="shared" si="0"/>
        <v>0.25412499999999999</v>
      </c>
      <c r="L23" s="24">
        <f t="shared" si="1"/>
        <v>-352.053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37"/>
      <c r="E24" s="37">
        <v>16819.900000000001</v>
      </c>
      <c r="F24" s="37">
        <v>6843.7</v>
      </c>
      <c r="G24" s="34">
        <f>110218.15821-99196.34239</f>
        <v>11021.815819999989</v>
      </c>
      <c r="H24" s="34"/>
      <c r="I24" s="22">
        <f t="shared" si="2"/>
        <v>4178.1158199999891</v>
      </c>
      <c r="J24" s="23">
        <v>0</v>
      </c>
      <c r="K24" s="23">
        <f t="shared" si="0"/>
        <v>0.65528426566150733</v>
      </c>
      <c r="L24" s="24">
        <f t="shared" si="1"/>
        <v>-5798.0841800000126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37"/>
      <c r="E25" s="37">
        <v>345.5</v>
      </c>
      <c r="F25" s="37">
        <v>140.6</v>
      </c>
      <c r="G25" s="34">
        <f>3669.08-3302.172</f>
        <v>366.9079999999999</v>
      </c>
      <c r="H25" s="34"/>
      <c r="I25" s="22">
        <f t="shared" si="2"/>
        <v>226.30799999999991</v>
      </c>
      <c r="J25" s="23">
        <v>0</v>
      </c>
      <c r="K25" s="23">
        <f t="shared" si="0"/>
        <v>1.0619623733719246</v>
      </c>
      <c r="L25" s="24">
        <f t="shared" si="1"/>
        <v>21.407999999999902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37"/>
      <c r="E26" s="37">
        <v>3254.6</v>
      </c>
      <c r="F26" s="37">
        <v>1324.3</v>
      </c>
      <c r="G26" s="34">
        <f>40800.72426-36720.65183</f>
        <v>4080.0724300000002</v>
      </c>
      <c r="H26" s="34"/>
      <c r="I26" s="22">
        <f t="shared" si="2"/>
        <v>2755.77243</v>
      </c>
      <c r="J26" s="23">
        <v>0</v>
      </c>
      <c r="K26" s="23">
        <f t="shared" si="0"/>
        <v>1.2536325293430837</v>
      </c>
      <c r="L26" s="24">
        <f t="shared" si="1"/>
        <v>825.47243000000026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37"/>
      <c r="E27" s="37">
        <v>1964.8</v>
      </c>
      <c r="F27" s="37">
        <v>799.5</v>
      </c>
      <c r="G27" s="34">
        <f>20063.88553-18057.49698</f>
        <v>2006.3885499999997</v>
      </c>
      <c r="H27" s="34"/>
      <c r="I27" s="22">
        <f t="shared" si="2"/>
        <v>1206.8885499999997</v>
      </c>
      <c r="J27" s="23">
        <v>0</v>
      </c>
      <c r="K27" s="23">
        <f t="shared" si="0"/>
        <v>1.0211668108713354</v>
      </c>
      <c r="L27" s="24">
        <f t="shared" si="1"/>
        <v>41.588549999999714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37"/>
      <c r="E28" s="37">
        <v>11.6</v>
      </c>
      <c r="F28" s="37">
        <v>4.7</v>
      </c>
      <c r="G28" s="34">
        <f>0.18041-0.16237</f>
        <v>1.804E-2</v>
      </c>
      <c r="H28" s="34"/>
      <c r="I28" s="22">
        <f t="shared" si="2"/>
        <v>-4.6819600000000001</v>
      </c>
      <c r="J28" s="23">
        <v>0</v>
      </c>
      <c r="K28" s="23">
        <f t="shared" si="0"/>
        <v>1.5551724137931036E-3</v>
      </c>
      <c r="L28" s="24">
        <f t="shared" si="1"/>
        <v>-11.58196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37"/>
      <c r="E29" s="37">
        <v>17007.3</v>
      </c>
      <c r="F29" s="37">
        <v>14920</v>
      </c>
      <c r="G29" s="34">
        <f>65273.7416-58746.36741</f>
        <v>6527.3741900000023</v>
      </c>
      <c r="H29" s="34"/>
      <c r="I29" s="22">
        <f t="shared" si="2"/>
        <v>-8392.6258099999977</v>
      </c>
      <c r="J29" s="23">
        <v>0</v>
      </c>
      <c r="K29" s="23">
        <f t="shared" si="0"/>
        <v>0.38379838010736583</v>
      </c>
      <c r="L29" s="24">
        <f t="shared" si="1"/>
        <v>-10479.925809999997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37"/>
      <c r="E30" s="37">
        <v>50.9</v>
      </c>
      <c r="F30" s="37">
        <v>20.7</v>
      </c>
      <c r="G30" s="34">
        <f>565.972-509.3748</f>
        <v>56.597199999999987</v>
      </c>
      <c r="H30" s="34"/>
      <c r="I30" s="22">
        <f t="shared" si="2"/>
        <v>35.897199999999984</v>
      </c>
      <c r="J30" s="23">
        <v>0</v>
      </c>
      <c r="K30" s="23">
        <f t="shared" si="0"/>
        <v>1.1119292730844792</v>
      </c>
      <c r="L30" s="24">
        <f t="shared" si="1"/>
        <v>5.6971999999999881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32">
        <v>7626.9</v>
      </c>
      <c r="E31" s="33">
        <f>E32+E34+E39+E42</f>
        <v>7626.9</v>
      </c>
      <c r="F31" s="33">
        <f>F32+F34+F39+F42</f>
        <v>1880.2999999999997</v>
      </c>
      <c r="G31" s="33">
        <f>G32+G34+G39+G42</f>
        <v>3132.96983</v>
      </c>
      <c r="H31" s="34"/>
      <c r="I31" s="22">
        <f t="shared" si="2"/>
        <v>1252.6698300000003</v>
      </c>
      <c r="J31" s="23">
        <f>G31/F31</f>
        <v>1.6662074296654792</v>
      </c>
      <c r="K31" s="23">
        <f t="shared" si="0"/>
        <v>0.41077893115158193</v>
      </c>
      <c r="L31" s="24">
        <f t="shared" si="1"/>
        <v>-4493.9301699999996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37">
        <v>0</v>
      </c>
      <c r="E32" s="37"/>
      <c r="F32" s="37">
        <v>0</v>
      </c>
      <c r="G32" s="41">
        <f>G33</f>
        <v>11.074949999999999</v>
      </c>
      <c r="H32" s="34"/>
      <c r="I32" s="22">
        <f t="shared" si="2"/>
        <v>11.074949999999999</v>
      </c>
      <c r="J32" s="23">
        <v>0</v>
      </c>
      <c r="K32" s="23">
        <v>0</v>
      </c>
      <c r="L32" s="24">
        <f t="shared" si="1"/>
        <v>11.074949999999999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37">
        <v>0</v>
      </c>
      <c r="E33" s="37"/>
      <c r="F33" s="37">
        <v>0</v>
      </c>
      <c r="G33" s="34">
        <v>11.074949999999999</v>
      </c>
      <c r="H33" s="34"/>
      <c r="I33" s="22">
        <f t="shared" si="2"/>
        <v>11.074949999999999</v>
      </c>
      <c r="J33" s="23">
        <v>0</v>
      </c>
      <c r="K33" s="23">
        <v>0</v>
      </c>
      <c r="L33" s="24">
        <f t="shared" si="1"/>
        <v>11.074949999999999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43">
        <v>6555.9</v>
      </c>
      <c r="E34" s="43">
        <v>6555.9</v>
      </c>
      <c r="F34" s="41">
        <f>F35+F36+F37+F38</f>
        <v>1360.1</v>
      </c>
      <c r="G34" s="41">
        <f>G35+G36+G37+G38</f>
        <v>3091.7893999999997</v>
      </c>
      <c r="H34" s="34"/>
      <c r="I34" s="22">
        <f t="shared" si="2"/>
        <v>1731.6893999999998</v>
      </c>
      <c r="J34" s="23">
        <f>G34/F34</f>
        <v>2.2732074112197633</v>
      </c>
      <c r="K34" s="23">
        <f t="shared" si="0"/>
        <v>0.47160411232630145</v>
      </c>
      <c r="L34" s="24">
        <f t="shared" si="1"/>
        <v>-3464.1106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37">
        <v>6555.4</v>
      </c>
      <c r="E35" s="37">
        <v>6555.4</v>
      </c>
      <c r="F35" s="37">
        <v>1360</v>
      </c>
      <c r="G35" s="34">
        <f>6182.1033-3091.05173</f>
        <v>3091.0515699999996</v>
      </c>
      <c r="H35" s="34"/>
      <c r="I35" s="22">
        <f t="shared" si="2"/>
        <v>1731.0515699999996</v>
      </c>
      <c r="J35" s="23">
        <f>G35/F35</f>
        <v>2.2728320367647057</v>
      </c>
      <c r="K35" s="23">
        <f t="shared" si="0"/>
        <v>0.47152752997528752</v>
      </c>
      <c r="L35" s="24">
        <f t="shared" si="1"/>
        <v>-3464.34843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37">
        <v>0.5</v>
      </c>
      <c r="E36" s="37">
        <v>0.5</v>
      </c>
      <c r="F36" s="37">
        <v>0.1</v>
      </c>
      <c r="G36" s="34">
        <v>0</v>
      </c>
      <c r="H36" s="34"/>
      <c r="I36" s="22">
        <f t="shared" si="2"/>
        <v>-0.1</v>
      </c>
      <c r="J36" s="23">
        <f>G36/F36</f>
        <v>0</v>
      </c>
      <c r="K36" s="23">
        <f t="shared" si="0"/>
        <v>0</v>
      </c>
      <c r="L36" s="24">
        <f t="shared" si="1"/>
        <v>-0.5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37"/>
      <c r="E37" s="37"/>
      <c r="F37" s="37">
        <v>0</v>
      </c>
      <c r="G37" s="34">
        <f>0.63407-0.31703</f>
        <v>0.31704000000000004</v>
      </c>
      <c r="H37" s="34"/>
      <c r="I37" s="22">
        <f t="shared" si="2"/>
        <v>0.31704000000000004</v>
      </c>
      <c r="J37" s="23">
        <v>0</v>
      </c>
      <c r="K37" s="23">
        <v>0</v>
      </c>
      <c r="L37" s="24">
        <f t="shared" si="1"/>
        <v>0.31704000000000004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37"/>
      <c r="E38" s="37"/>
      <c r="F38" s="37">
        <v>0</v>
      </c>
      <c r="G38" s="34">
        <f>0.84158-0.42079</f>
        <v>0.42079</v>
      </c>
      <c r="H38" s="34"/>
      <c r="I38" s="22">
        <f t="shared" si="2"/>
        <v>0.42079</v>
      </c>
      <c r="J38" s="23">
        <v>0</v>
      </c>
      <c r="K38" s="23">
        <v>0</v>
      </c>
      <c r="L38" s="24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32">
        <v>1070.8</v>
      </c>
      <c r="E39" s="32">
        <v>1070.8</v>
      </c>
      <c r="F39" s="33">
        <f>F41+F40</f>
        <v>520.1</v>
      </c>
      <c r="G39" s="33">
        <f>G41+G40</f>
        <v>29.823370000000008</v>
      </c>
      <c r="H39" s="34"/>
      <c r="I39" s="22">
        <f t="shared" si="2"/>
        <v>-490.27663000000001</v>
      </c>
      <c r="J39" s="23">
        <f>G39/F39</f>
        <v>5.7341607383195554E-2</v>
      </c>
      <c r="K39" s="23">
        <f t="shared" si="0"/>
        <v>2.7851484871124401E-2</v>
      </c>
      <c r="L39" s="24">
        <f t="shared" si="1"/>
        <v>-1040.9766299999999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37">
        <v>165.8</v>
      </c>
      <c r="E40" s="37">
        <v>165.8</v>
      </c>
      <c r="F40" s="37">
        <v>30.1</v>
      </c>
      <c r="G40" s="34">
        <f>115.4445-86.58335</f>
        <v>28.861150000000009</v>
      </c>
      <c r="H40" s="34"/>
      <c r="I40" s="22">
        <f t="shared" si="2"/>
        <v>-1.2388499999999922</v>
      </c>
      <c r="J40" s="23">
        <f>G40/F40</f>
        <v>0.95884219269103022</v>
      </c>
      <c r="K40" s="23">
        <f t="shared" si="0"/>
        <v>0.17407207478890233</v>
      </c>
      <c r="L40" s="24">
        <f t="shared" si="1"/>
        <v>-136.93885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37">
        <v>905</v>
      </c>
      <c r="E41" s="37">
        <v>905</v>
      </c>
      <c r="F41" s="37">
        <v>490</v>
      </c>
      <c r="G41" s="34">
        <v>0.96221999999999996</v>
      </c>
      <c r="H41" s="34"/>
      <c r="I41" s="22">
        <f t="shared" si="2"/>
        <v>-489.03778</v>
      </c>
      <c r="J41" s="23">
        <f>G41/F41</f>
        <v>1.9637142857142856E-3</v>
      </c>
      <c r="K41" s="23">
        <f t="shared" si="0"/>
        <v>1.0632265193370165E-3</v>
      </c>
      <c r="L41" s="24">
        <f t="shared" si="1"/>
        <v>-904.03778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37">
        <v>0.2</v>
      </c>
      <c r="E42" s="37">
        <v>0.2</v>
      </c>
      <c r="F42" s="41">
        <f>F43</f>
        <v>0.1</v>
      </c>
      <c r="G42" s="41">
        <f>G43</f>
        <v>0.28211000000000003</v>
      </c>
      <c r="H42" s="34"/>
      <c r="I42" s="22">
        <f t="shared" si="2"/>
        <v>0.18211000000000002</v>
      </c>
      <c r="J42" s="23">
        <f>G42/F42</f>
        <v>2.8210999999999999</v>
      </c>
      <c r="K42" s="23">
        <f t="shared" si="0"/>
        <v>1.41055</v>
      </c>
      <c r="L42" s="24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37"/>
      <c r="E43" s="37"/>
      <c r="F43" s="37">
        <v>0.1</v>
      </c>
      <c r="G43" s="34">
        <v>0.28211000000000003</v>
      </c>
      <c r="H43" s="34"/>
      <c r="I43" s="22">
        <f t="shared" si="2"/>
        <v>0.18211000000000002</v>
      </c>
      <c r="J43" s="23">
        <f>G43/F43</f>
        <v>2.8210999999999999</v>
      </c>
      <c r="K43" s="23">
        <v>0</v>
      </c>
      <c r="L43" s="24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32"/>
      <c r="E44" s="33">
        <f>E45</f>
        <v>89700</v>
      </c>
      <c r="F44" s="33">
        <f>F45</f>
        <v>17200</v>
      </c>
      <c r="G44" s="33">
        <f>G45</f>
        <v>23045.97551</v>
      </c>
      <c r="H44" s="34"/>
      <c r="I44" s="22">
        <f t="shared" si="2"/>
        <v>5845.9755100000002</v>
      </c>
      <c r="J44" s="23">
        <v>0</v>
      </c>
      <c r="K44" s="23">
        <f t="shared" si="0"/>
        <v>0.2569228039018952</v>
      </c>
      <c r="L44" s="24">
        <f t="shared" si="1"/>
        <v>-66654.024489999996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37"/>
      <c r="E45" s="37">
        <v>89700</v>
      </c>
      <c r="F45" s="37">
        <v>17200</v>
      </c>
      <c r="G45" s="34">
        <v>23045.97551</v>
      </c>
      <c r="H45" s="34"/>
      <c r="I45" s="22">
        <f t="shared" si="2"/>
        <v>5845.9755100000002</v>
      </c>
      <c r="J45" s="23">
        <v>0</v>
      </c>
      <c r="K45" s="23">
        <f t="shared" si="0"/>
        <v>0.2569228039018952</v>
      </c>
      <c r="L45" s="24">
        <f t="shared" si="1"/>
        <v>-66654.024489999996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32"/>
      <c r="E46" s="32">
        <v>0</v>
      </c>
      <c r="F46" s="33">
        <f>F48</f>
        <v>0</v>
      </c>
      <c r="G46" s="33">
        <f>G48</f>
        <v>9.6140000000000003E-2</v>
      </c>
      <c r="H46" s="34"/>
      <c r="I46" s="22">
        <f t="shared" si="2"/>
        <v>9.6140000000000003E-2</v>
      </c>
      <c r="J46" s="23">
        <v>0</v>
      </c>
      <c r="K46" s="23">
        <v>0</v>
      </c>
      <c r="L46" s="24">
        <f t="shared" si="1"/>
        <v>9.6140000000000003E-2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32"/>
      <c r="E47" s="32">
        <v>0</v>
      </c>
      <c r="F47" s="33">
        <f>F48</f>
        <v>0</v>
      </c>
      <c r="G47" s="33">
        <f>G48</f>
        <v>9.6140000000000003E-2</v>
      </c>
      <c r="H47" s="34"/>
      <c r="I47" s="22">
        <f t="shared" si="2"/>
        <v>9.6140000000000003E-2</v>
      </c>
      <c r="J47" s="23">
        <v>0</v>
      </c>
      <c r="K47" s="23">
        <v>0</v>
      </c>
      <c r="L47" s="24">
        <f t="shared" si="1"/>
        <v>9.6140000000000003E-2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37">
        <v>0</v>
      </c>
      <c r="E48" s="37">
        <v>0</v>
      </c>
      <c r="F48" s="37">
        <v>0</v>
      </c>
      <c r="G48" s="34">
        <v>9.6140000000000003E-2</v>
      </c>
      <c r="H48" s="34"/>
      <c r="I48" s="22">
        <f t="shared" si="2"/>
        <v>9.6140000000000003E-2</v>
      </c>
      <c r="J48" s="23">
        <v>0</v>
      </c>
      <c r="K48" s="23">
        <v>0</v>
      </c>
      <c r="L48" s="24">
        <f t="shared" si="1"/>
        <v>9.6140000000000003E-2</v>
      </c>
      <c r="M48" s="25"/>
      <c r="N48" s="12"/>
      <c r="O48" s="12"/>
    </row>
    <row r="49" spans="1:15" s="13" customFormat="1" ht="61.5" x14ac:dyDescent="0.45">
      <c r="A49" s="38"/>
      <c r="B49" s="39">
        <v>18000000</v>
      </c>
      <c r="C49" s="40" t="s">
        <v>56</v>
      </c>
      <c r="D49" s="32">
        <v>365617</v>
      </c>
      <c r="E49" s="33">
        <f>E50+E62+E64+E67+E77</f>
        <v>506933.89999999991</v>
      </c>
      <c r="F49" s="33">
        <f>F50+F62+F64+F67+F77</f>
        <v>160522.20000000001</v>
      </c>
      <c r="G49" s="33">
        <f>G50+G62+G64+G67+G77</f>
        <v>158596.21271999998</v>
      </c>
      <c r="H49" s="34"/>
      <c r="I49" s="22">
        <f t="shared" si="2"/>
        <v>-1925.9872800000303</v>
      </c>
      <c r="J49" s="23">
        <f>G49/F49</f>
        <v>0.98800173882491005</v>
      </c>
      <c r="K49" s="23">
        <f t="shared" si="0"/>
        <v>0.31285383108133036</v>
      </c>
      <c r="L49" s="24">
        <f t="shared" si="1"/>
        <v>-348337.68727999995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37">
        <v>360978.2</v>
      </c>
      <c r="E50" s="34">
        <f>E51+E52+E53+E54+E55+E56+E57+E58+E60+E59</f>
        <v>380750.19999999995</v>
      </c>
      <c r="F50" s="34">
        <f>F51+F52+F53+F54+F55+F56+F57+F58+F60+F59</f>
        <v>117539</v>
      </c>
      <c r="G50" s="34">
        <f>G51+G52+G53+G54+G55+G56+G57+G58+G60+G59</f>
        <v>101911.1669</v>
      </c>
      <c r="H50" s="34"/>
      <c r="I50" s="22">
        <f t="shared" si="2"/>
        <v>-15627.833100000003</v>
      </c>
      <c r="J50" s="23">
        <f>G50/F50</f>
        <v>0.86704129608044989</v>
      </c>
      <c r="K50" s="23">
        <f t="shared" si="0"/>
        <v>0.26765886636435127</v>
      </c>
      <c r="L50" s="24">
        <f t="shared" si="1"/>
        <v>-278839.03309999994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37">
        <v>0</v>
      </c>
      <c r="E51" s="37">
        <v>1951</v>
      </c>
      <c r="F51" s="37">
        <v>856</v>
      </c>
      <c r="G51" s="34">
        <v>702.37867000000006</v>
      </c>
      <c r="H51" s="34"/>
      <c r="I51" s="22">
        <f t="shared" si="2"/>
        <v>-153.62132999999994</v>
      </c>
      <c r="J51" s="23">
        <v>0</v>
      </c>
      <c r="K51" s="23">
        <f t="shared" si="0"/>
        <v>0.36000956945156332</v>
      </c>
      <c r="L51" s="24">
        <f t="shared" si="1"/>
        <v>-1248.6213299999999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37">
        <v>0</v>
      </c>
      <c r="E52" s="37">
        <v>1315</v>
      </c>
      <c r="F52" s="37">
        <v>0</v>
      </c>
      <c r="G52" s="34">
        <v>-2.3246699999999998</v>
      </c>
      <c r="H52" s="34"/>
      <c r="I52" s="22">
        <f t="shared" si="2"/>
        <v>-2.3246699999999998</v>
      </c>
      <c r="J52" s="23">
        <v>0</v>
      </c>
      <c r="K52" s="23">
        <f t="shared" si="0"/>
        <v>-1.7678098859315588E-3</v>
      </c>
      <c r="L52" s="24">
        <f t="shared" si="1"/>
        <v>-1317.32467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37">
        <v>0</v>
      </c>
      <c r="E53" s="37">
        <v>0</v>
      </c>
      <c r="F53" s="37">
        <v>0</v>
      </c>
      <c r="G53" s="34">
        <v>11.145709999999999</v>
      </c>
      <c r="H53" s="34"/>
      <c r="I53" s="22">
        <f t="shared" si="2"/>
        <v>11.145709999999999</v>
      </c>
      <c r="J53" s="23">
        <v>0</v>
      </c>
      <c r="K53" s="23">
        <v>0</v>
      </c>
      <c r="L53" s="24">
        <f t="shared" si="1"/>
        <v>11.145709999999999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37">
        <v>0</v>
      </c>
      <c r="E54" s="37">
        <v>8105</v>
      </c>
      <c r="F54" s="37">
        <v>2765</v>
      </c>
      <c r="G54" s="34">
        <v>4528.2828799999997</v>
      </c>
      <c r="H54" s="34"/>
      <c r="I54" s="22">
        <f t="shared" si="2"/>
        <v>1763.2828799999997</v>
      </c>
      <c r="J54" s="23">
        <v>0</v>
      </c>
      <c r="K54" s="23">
        <f t="shared" si="0"/>
        <v>0.5587023911165947</v>
      </c>
      <c r="L54" s="24">
        <f t="shared" si="1"/>
        <v>-3576.7171200000003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37">
        <v>115874</v>
      </c>
      <c r="E55" s="37">
        <v>115874</v>
      </c>
      <c r="F55" s="37">
        <v>33682</v>
      </c>
      <c r="G55" s="34">
        <v>29432.93576</v>
      </c>
      <c r="H55" s="34"/>
      <c r="I55" s="22">
        <f t="shared" si="2"/>
        <v>-4249.0642399999997</v>
      </c>
      <c r="J55" s="23">
        <f>G55/F55</f>
        <v>0.87384762662549731</v>
      </c>
      <c r="K55" s="23">
        <f t="shared" si="0"/>
        <v>0.25400811018865321</v>
      </c>
      <c r="L55" s="24">
        <f t="shared" si="1"/>
        <v>-86441.064240000007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37">
        <v>234996.8</v>
      </c>
      <c r="E56" s="37">
        <v>234996.8</v>
      </c>
      <c r="F56" s="37">
        <v>77730</v>
      </c>
      <c r="G56" s="34">
        <v>65091.129379999998</v>
      </c>
      <c r="H56" s="34"/>
      <c r="I56" s="22">
        <f t="shared" si="2"/>
        <v>-12638.870620000002</v>
      </c>
      <c r="J56" s="23">
        <f>G56/F56</f>
        <v>0.83740035224495046</v>
      </c>
      <c r="K56" s="23">
        <f t="shared" si="0"/>
        <v>0.27698730101856706</v>
      </c>
      <c r="L56" s="24">
        <f t="shared" si="1"/>
        <v>-169905.67061999999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37">
        <v>6136.6</v>
      </c>
      <c r="E57" s="37">
        <v>6136.6</v>
      </c>
      <c r="F57" s="37">
        <v>965</v>
      </c>
      <c r="G57" s="34">
        <v>857.54987000000006</v>
      </c>
      <c r="H57" s="34"/>
      <c r="I57" s="22">
        <f t="shared" si="2"/>
        <v>-107.45012999999994</v>
      </c>
      <c r="J57" s="23">
        <f>G57/F57</f>
        <v>0.88865271502590681</v>
      </c>
      <c r="K57" s="23">
        <f t="shared" si="0"/>
        <v>0.1397434849916892</v>
      </c>
      <c r="L57" s="24">
        <f t="shared" si="1"/>
        <v>-5279.0501300000005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37">
        <v>3970.8</v>
      </c>
      <c r="E58" s="37">
        <v>3970.8</v>
      </c>
      <c r="F58" s="37">
        <v>623</v>
      </c>
      <c r="G58" s="34">
        <v>412.08679999999998</v>
      </c>
      <c r="H58" s="34"/>
      <c r="I58" s="22">
        <f t="shared" si="2"/>
        <v>-210.91320000000002</v>
      </c>
      <c r="J58" s="23">
        <f>G58/F58</f>
        <v>0.6614555377207062</v>
      </c>
      <c r="K58" s="23">
        <f t="shared" si="0"/>
        <v>0.10377928880830059</v>
      </c>
      <c r="L58" s="24">
        <f t="shared" si="1"/>
        <v>-3558.7132000000001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37">
        <v>0</v>
      </c>
      <c r="E59" s="37">
        <v>5647</v>
      </c>
      <c r="F59" s="37">
        <v>0</v>
      </c>
      <c r="G59" s="34">
        <v>0</v>
      </c>
      <c r="H59" s="34"/>
      <c r="I59" s="22">
        <f t="shared" si="2"/>
        <v>0</v>
      </c>
      <c r="J59" s="23">
        <v>0</v>
      </c>
      <c r="K59" s="23">
        <f t="shared" si="0"/>
        <v>0</v>
      </c>
      <c r="L59" s="24">
        <f t="shared" si="1"/>
        <v>-5647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37">
        <v>0</v>
      </c>
      <c r="E60" s="37">
        <v>2754</v>
      </c>
      <c r="F60" s="37">
        <v>918</v>
      </c>
      <c r="G60" s="34">
        <v>877.98249999999996</v>
      </c>
      <c r="H60" s="34"/>
      <c r="I60" s="22">
        <f t="shared" si="2"/>
        <v>-40.017500000000041</v>
      </c>
      <c r="J60" s="23">
        <v>0</v>
      </c>
      <c r="K60" s="23">
        <f t="shared" si="0"/>
        <v>0.3188026506899056</v>
      </c>
      <c r="L60" s="24">
        <f t="shared" si="1"/>
        <v>-1876.0174999999999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25">
        <f t="shared" ref="D61:E61" si="3">D62+D63</f>
        <v>4098.6000000000004</v>
      </c>
      <c r="E61" s="125">
        <f t="shared" si="3"/>
        <v>4098.6000000000004</v>
      </c>
      <c r="F61" s="125">
        <f>F62+F63</f>
        <v>490</v>
      </c>
      <c r="G61" s="33">
        <f>G62</f>
        <v>432.36926999999997</v>
      </c>
      <c r="H61" s="33"/>
      <c r="I61" s="22">
        <f t="shared" si="2"/>
        <v>-57.630730000000028</v>
      </c>
      <c r="J61" s="23">
        <f>G61/F61</f>
        <v>0.88238626530612241</v>
      </c>
      <c r="K61" s="23">
        <f t="shared" si="0"/>
        <v>0.10549194115063679</v>
      </c>
      <c r="L61" s="24">
        <f t="shared" si="1"/>
        <v>-3666.2307300000002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37">
        <v>4098.6000000000004</v>
      </c>
      <c r="E62" s="37">
        <v>4098.6000000000004</v>
      </c>
      <c r="F62" s="37">
        <v>490</v>
      </c>
      <c r="G62" s="34">
        <v>432.36926999999997</v>
      </c>
      <c r="H62" s="34"/>
      <c r="I62" s="22">
        <f t="shared" si="2"/>
        <v>-57.630730000000028</v>
      </c>
      <c r="J62" s="23">
        <f>G62/F62</f>
        <v>0.88238626530612241</v>
      </c>
      <c r="K62" s="23">
        <f t="shared" si="0"/>
        <v>0.10549194115063679</v>
      </c>
      <c r="L62" s="24">
        <f t="shared" si="1"/>
        <v>-3666.2307300000002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37">
        <v>0</v>
      </c>
      <c r="E63" s="37">
        <v>0</v>
      </c>
      <c r="F63" s="37">
        <v>0</v>
      </c>
      <c r="G63" s="34"/>
      <c r="H63" s="34"/>
      <c r="I63" s="22"/>
      <c r="J63" s="23"/>
      <c r="K63" s="23">
        <v>0</v>
      </c>
      <c r="L63" s="24">
        <f t="shared" si="1"/>
        <v>0</v>
      </c>
      <c r="M63" s="25"/>
      <c r="N63" s="12"/>
      <c r="O63" s="12"/>
    </row>
    <row r="64" spans="1:15" s="13" customFormat="1" ht="61.5" x14ac:dyDescent="0.45">
      <c r="A64" s="38"/>
      <c r="B64" s="30">
        <v>18030000</v>
      </c>
      <c r="C64" s="31" t="s">
        <v>68</v>
      </c>
      <c r="D64" s="32">
        <v>540.20000000000005</v>
      </c>
      <c r="E64" s="32">
        <v>540.20000000000005</v>
      </c>
      <c r="F64" s="33">
        <f>F65+F66</f>
        <v>117.2</v>
      </c>
      <c r="G64" s="33">
        <f>G65+G66</f>
        <v>161.48652999999999</v>
      </c>
      <c r="H64" s="34"/>
      <c r="I64" s="22">
        <f t="shared" si="2"/>
        <v>44.286529999999985</v>
      </c>
      <c r="J64" s="23">
        <f>G64/F64</f>
        <v>1.3778714163822525</v>
      </c>
      <c r="K64" s="23">
        <f t="shared" si="0"/>
        <v>0.29893841169937058</v>
      </c>
      <c r="L64" s="24">
        <f t="shared" si="1"/>
        <v>-378.71347000000003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37">
        <v>515.4</v>
      </c>
      <c r="E65" s="37">
        <v>515.4</v>
      </c>
      <c r="F65" s="37">
        <v>108.4</v>
      </c>
      <c r="G65" s="34">
        <v>143.56066999999999</v>
      </c>
      <c r="H65" s="34"/>
      <c r="I65" s="22">
        <f t="shared" si="2"/>
        <v>35.160669999999982</v>
      </c>
      <c r="J65" s="23">
        <f>G65/F65</f>
        <v>1.3243604243542433</v>
      </c>
      <c r="K65" s="23">
        <f t="shared" si="0"/>
        <v>0.27854223903764064</v>
      </c>
      <c r="L65" s="24">
        <f t="shared" si="1"/>
        <v>-371.83933000000002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37">
        <v>24.8</v>
      </c>
      <c r="E66" s="37">
        <v>24.8</v>
      </c>
      <c r="F66" s="37">
        <v>8.8000000000000007</v>
      </c>
      <c r="G66" s="34">
        <v>17.92586</v>
      </c>
      <c r="H66" s="34"/>
      <c r="I66" s="22">
        <f t="shared" si="2"/>
        <v>9.1258599999999994</v>
      </c>
      <c r="J66" s="23">
        <f>G66/F66</f>
        <v>2.0370295454545455</v>
      </c>
      <c r="K66" s="23">
        <f t="shared" si="0"/>
        <v>0.72281693548387094</v>
      </c>
      <c r="L66" s="24">
        <f t="shared" si="1"/>
        <v>-6.8741400000000006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32"/>
      <c r="E67" s="32"/>
      <c r="F67" s="33">
        <f>F68+F69+F70+F71+F72+F73+F74+F75+F76</f>
        <v>0</v>
      </c>
      <c r="G67" s="33">
        <f>G68+G69+G70+G71+G72+G73+G74+G75+G76</f>
        <v>24.386629999999997</v>
      </c>
      <c r="H67" s="34"/>
      <c r="I67" s="22">
        <f t="shared" si="2"/>
        <v>24.386629999999997</v>
      </c>
      <c r="J67" s="23">
        <v>0</v>
      </c>
      <c r="K67" s="23">
        <v>0</v>
      </c>
      <c r="L67" s="24">
        <f t="shared" si="1"/>
        <v>24.386629999999997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37"/>
      <c r="E68" s="37"/>
      <c r="F68" s="37">
        <v>0</v>
      </c>
      <c r="G68" s="34">
        <v>-2.62866</v>
      </c>
      <c r="H68" s="34"/>
      <c r="I68" s="22">
        <f t="shared" si="2"/>
        <v>-2.62866</v>
      </c>
      <c r="J68" s="23">
        <v>0</v>
      </c>
      <c r="K68" s="23">
        <v>0</v>
      </c>
      <c r="L68" s="24">
        <f t="shared" si="1"/>
        <v>-2.62866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37"/>
      <c r="E69" s="37"/>
      <c r="F69" s="37">
        <v>0</v>
      </c>
      <c r="G69" s="34">
        <v>24.766010000000001</v>
      </c>
      <c r="H69" s="34"/>
      <c r="I69" s="22">
        <f t="shared" si="2"/>
        <v>24.766010000000001</v>
      </c>
      <c r="J69" s="23">
        <v>0</v>
      </c>
      <c r="K69" s="23">
        <v>0</v>
      </c>
      <c r="L69" s="24">
        <f t="shared" si="1"/>
        <v>24.766010000000001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37"/>
      <c r="E70" s="37"/>
      <c r="F70" s="37">
        <v>0</v>
      </c>
      <c r="G70" s="34">
        <v>0.48699999999999999</v>
      </c>
      <c r="H70" s="34"/>
      <c r="I70" s="22">
        <f t="shared" si="2"/>
        <v>0.48699999999999999</v>
      </c>
      <c r="J70" s="23">
        <v>0</v>
      </c>
      <c r="K70" s="23">
        <v>0</v>
      </c>
      <c r="L70" s="24">
        <f t="shared" ref="L70:L120" si="4">G70-E70</f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37"/>
      <c r="E71" s="37"/>
      <c r="F71" s="37">
        <v>0</v>
      </c>
      <c r="G71" s="34">
        <v>8.3174499999999991</v>
      </c>
      <c r="H71" s="34"/>
      <c r="I71" s="22">
        <f t="shared" si="2"/>
        <v>8.3174499999999991</v>
      </c>
      <c r="J71" s="23">
        <v>0</v>
      </c>
      <c r="K71" s="23">
        <v>0</v>
      </c>
      <c r="L71" s="24">
        <f t="shared" si="4"/>
        <v>8.3174499999999991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37"/>
      <c r="E72" s="37"/>
      <c r="F72" s="37">
        <v>0</v>
      </c>
      <c r="G72" s="34">
        <v>-6.0427400000000002</v>
      </c>
      <c r="H72" s="34"/>
      <c r="I72" s="22">
        <f t="shared" si="2"/>
        <v>-6.0427400000000002</v>
      </c>
      <c r="J72" s="23">
        <v>0</v>
      </c>
      <c r="K72" s="23">
        <v>0</v>
      </c>
      <c r="L72" s="24">
        <f t="shared" si="4"/>
        <v>-6.0427400000000002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37"/>
      <c r="E73" s="37"/>
      <c r="F73" s="37">
        <v>0</v>
      </c>
      <c r="G73" s="34">
        <v>-2.4098899999999999</v>
      </c>
      <c r="H73" s="34"/>
      <c r="I73" s="22">
        <f t="shared" ref="I73:I120" si="5">G73-F73</f>
        <v>-2.4098899999999999</v>
      </c>
      <c r="J73" s="23">
        <v>0</v>
      </c>
      <c r="K73" s="23">
        <v>0</v>
      </c>
      <c r="L73" s="24">
        <f t="shared" si="4"/>
        <v>-2.4098899999999999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37"/>
      <c r="E74" s="37"/>
      <c r="F74" s="37">
        <v>0</v>
      </c>
      <c r="G74" s="34">
        <v>6.0999999999999999E-2</v>
      </c>
      <c r="H74" s="34"/>
      <c r="I74" s="22">
        <f t="shared" si="5"/>
        <v>6.0999999999999999E-2</v>
      </c>
      <c r="J74" s="23">
        <v>0</v>
      </c>
      <c r="K74" s="23">
        <v>0</v>
      </c>
      <c r="L74" s="24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37"/>
      <c r="E75" s="37"/>
      <c r="F75" s="37">
        <v>0</v>
      </c>
      <c r="G75" s="34">
        <v>1.83646</v>
      </c>
      <c r="H75" s="34"/>
      <c r="I75" s="22">
        <f t="shared" si="5"/>
        <v>1.83646</v>
      </c>
      <c r="J75" s="23">
        <v>0</v>
      </c>
      <c r="K75" s="23">
        <v>0</v>
      </c>
      <c r="L75" s="24">
        <f t="shared" si="4"/>
        <v>1.83646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37"/>
      <c r="E76" s="37"/>
      <c r="F76" s="37">
        <v>0</v>
      </c>
      <c r="G76" s="34">
        <v>0</v>
      </c>
      <c r="H76" s="34"/>
      <c r="I76" s="22">
        <f t="shared" si="5"/>
        <v>0</v>
      </c>
      <c r="J76" s="23">
        <v>0</v>
      </c>
      <c r="K76" s="23">
        <v>0</v>
      </c>
      <c r="L76" s="24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37"/>
      <c r="E77" s="33">
        <f>E79+E80+E78+E81</f>
        <v>121544.9</v>
      </c>
      <c r="F77" s="33">
        <f>F79+F80+F78+F81</f>
        <v>42376</v>
      </c>
      <c r="G77" s="33">
        <f>G79+G80+G78+G81</f>
        <v>56066.803390000001</v>
      </c>
      <c r="H77" s="34"/>
      <c r="I77" s="22">
        <f t="shared" si="5"/>
        <v>13690.803390000001</v>
      </c>
      <c r="J77" s="23">
        <v>0</v>
      </c>
      <c r="K77" s="23">
        <f t="shared" ref="K77:K121" si="6">G77/E77</f>
        <v>0.46128470540516309</v>
      </c>
      <c r="L77" s="24">
        <f t="shared" si="4"/>
        <v>-65478.096609999993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37"/>
      <c r="E78" s="37">
        <v>0</v>
      </c>
      <c r="F78" s="37">
        <v>0</v>
      </c>
      <c r="G78" s="34">
        <v>8.5665499999999994</v>
      </c>
      <c r="H78" s="34"/>
      <c r="I78" s="22">
        <f t="shared" si="5"/>
        <v>8.5665499999999994</v>
      </c>
      <c r="J78" s="23">
        <v>0</v>
      </c>
      <c r="K78" s="23">
        <v>0</v>
      </c>
      <c r="L78" s="24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37"/>
      <c r="E79" s="37">
        <v>50570.9</v>
      </c>
      <c r="F79" s="37">
        <v>16665</v>
      </c>
      <c r="G79" s="34">
        <v>19378.251970000001</v>
      </c>
      <c r="H79" s="34"/>
      <c r="I79" s="22">
        <f t="shared" si="5"/>
        <v>2713.2519700000012</v>
      </c>
      <c r="J79" s="23">
        <v>0</v>
      </c>
      <c r="K79" s="23">
        <f t="shared" si="6"/>
        <v>0.38318977850898445</v>
      </c>
      <c r="L79" s="24">
        <f t="shared" si="4"/>
        <v>-31192.64803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37"/>
      <c r="E80" s="37">
        <v>70974</v>
      </c>
      <c r="F80" s="37">
        <v>25711</v>
      </c>
      <c r="G80" s="34">
        <v>36676.284870000003</v>
      </c>
      <c r="H80" s="34"/>
      <c r="I80" s="22">
        <f t="shared" si="5"/>
        <v>10965.284870000003</v>
      </c>
      <c r="J80" s="23">
        <v>0</v>
      </c>
      <c r="K80" s="23">
        <f t="shared" si="6"/>
        <v>0.51675662735649674</v>
      </c>
      <c r="L80" s="24">
        <f t="shared" si="4"/>
        <v>-34297.715129999997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37"/>
      <c r="E81" s="37">
        <v>0</v>
      </c>
      <c r="F81" s="37">
        <v>0</v>
      </c>
      <c r="G81" s="34">
        <v>3.7</v>
      </c>
      <c r="H81" s="34"/>
      <c r="I81" s="22">
        <f t="shared" si="5"/>
        <v>3.7</v>
      </c>
      <c r="J81" s="23">
        <v>0</v>
      </c>
      <c r="K81" s="23">
        <v>0</v>
      </c>
      <c r="L81" s="24">
        <f t="shared" si="4"/>
        <v>3.7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32"/>
      <c r="E82" s="32">
        <v>0</v>
      </c>
      <c r="F82" s="33">
        <f>F83</f>
        <v>0</v>
      </c>
      <c r="G82" s="33">
        <f>G83</f>
        <v>109.8464</v>
      </c>
      <c r="H82" s="34"/>
      <c r="I82" s="22">
        <f t="shared" si="5"/>
        <v>109.8464</v>
      </c>
      <c r="J82" s="23">
        <v>0</v>
      </c>
      <c r="K82" s="23">
        <v>0</v>
      </c>
      <c r="L82" s="24">
        <f t="shared" si="4"/>
        <v>109.8464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32"/>
      <c r="E83" s="32">
        <v>0</v>
      </c>
      <c r="F83" s="33">
        <f>F84+F85+F86</f>
        <v>0</v>
      </c>
      <c r="G83" s="33">
        <f>G84+G85+G86</f>
        <v>109.8464</v>
      </c>
      <c r="H83" s="34"/>
      <c r="I83" s="22">
        <f t="shared" si="5"/>
        <v>109.8464</v>
      </c>
      <c r="J83" s="23">
        <v>0</v>
      </c>
      <c r="K83" s="23">
        <v>0</v>
      </c>
      <c r="L83" s="24">
        <f t="shared" si="4"/>
        <v>109.8464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37"/>
      <c r="E84" s="37"/>
      <c r="F84" s="37">
        <v>0</v>
      </c>
      <c r="G84" s="34">
        <f>110.60512-22.12105</f>
        <v>88.484070000000003</v>
      </c>
      <c r="H84" s="34"/>
      <c r="I84" s="22">
        <f t="shared" si="5"/>
        <v>88.484070000000003</v>
      </c>
      <c r="J84" s="23">
        <v>0</v>
      </c>
      <c r="K84" s="23">
        <v>0</v>
      </c>
      <c r="L84" s="24">
        <f t="shared" si="4"/>
        <v>88.484070000000003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37"/>
      <c r="E85" s="37"/>
      <c r="F85" s="37">
        <v>0</v>
      </c>
      <c r="G85" s="34">
        <f>0.13-0.026</f>
        <v>0.10400000000000001</v>
      </c>
      <c r="H85" s="34"/>
      <c r="I85" s="22">
        <f t="shared" si="5"/>
        <v>0.10400000000000001</v>
      </c>
      <c r="J85" s="23">
        <v>0</v>
      </c>
      <c r="K85" s="23">
        <v>0</v>
      </c>
      <c r="L85" s="24">
        <f t="shared" si="4"/>
        <v>0.10400000000000001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37"/>
      <c r="E86" s="37"/>
      <c r="F86" s="37">
        <v>0</v>
      </c>
      <c r="G86" s="34">
        <f>26.5729-5.31457</f>
        <v>21.258330000000001</v>
      </c>
      <c r="H86" s="34"/>
      <c r="I86" s="22">
        <f t="shared" si="5"/>
        <v>21.258330000000001</v>
      </c>
      <c r="J86" s="23">
        <v>0</v>
      </c>
      <c r="K86" s="23">
        <v>0</v>
      </c>
      <c r="L86" s="24">
        <f t="shared" si="4"/>
        <v>21.258330000000001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32">
        <v>18149.8</v>
      </c>
      <c r="E87" s="32">
        <v>18149.8</v>
      </c>
      <c r="F87" s="33">
        <f>F88+F95+F112</f>
        <v>5254.0000000000009</v>
      </c>
      <c r="G87" s="33">
        <f>G88+G95+G112</f>
        <v>9021.9468500000003</v>
      </c>
      <c r="H87" s="33"/>
      <c r="I87" s="22">
        <f t="shared" si="5"/>
        <v>3767.9468499999994</v>
      </c>
      <c r="J87" s="23">
        <f t="shared" ref="J87:J121" si="7">G87/F87</f>
        <v>1.7171577559954319</v>
      </c>
      <c r="K87" s="23">
        <f t="shared" si="6"/>
        <v>0.49708243892494686</v>
      </c>
      <c r="L87" s="24">
        <f t="shared" si="4"/>
        <v>-9127.853149999999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37">
        <v>1906.3</v>
      </c>
      <c r="E88" s="37">
        <v>1906.3</v>
      </c>
      <c r="F88" s="33">
        <f>F89+F92</f>
        <v>550.6</v>
      </c>
      <c r="G88" s="33">
        <f>G89+G92</f>
        <v>323.38468999999998</v>
      </c>
      <c r="H88" s="34"/>
      <c r="I88" s="22">
        <f t="shared" si="5"/>
        <v>-227.21531000000004</v>
      </c>
      <c r="J88" s="23">
        <f t="shared" si="7"/>
        <v>0.58733143843080271</v>
      </c>
      <c r="K88" s="23">
        <f t="shared" si="6"/>
        <v>0.16963997796779101</v>
      </c>
      <c r="L88" s="24">
        <f t="shared" si="4"/>
        <v>-1582.9153099999999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37">
        <v>1277.3</v>
      </c>
      <c r="E89" s="37">
        <v>1277.3</v>
      </c>
      <c r="F89" s="34">
        <f>F91+F90</f>
        <v>361.6</v>
      </c>
      <c r="G89" s="34">
        <f>G91+G90</f>
        <v>187.12700000000001</v>
      </c>
      <c r="H89" s="34"/>
      <c r="I89" s="22">
        <f t="shared" si="5"/>
        <v>-174.47300000000001</v>
      </c>
      <c r="J89" s="23">
        <f t="shared" si="7"/>
        <v>0.51749723451327434</v>
      </c>
      <c r="K89" s="23">
        <f t="shared" si="6"/>
        <v>0.14650199639865341</v>
      </c>
      <c r="L89" s="24">
        <f t="shared" si="4"/>
        <v>-1090.173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37">
        <v>1277.3</v>
      </c>
      <c r="E90" s="37">
        <v>1277.3</v>
      </c>
      <c r="F90" s="37">
        <v>361.6</v>
      </c>
      <c r="G90" s="34">
        <v>138.55799999999999</v>
      </c>
      <c r="H90" s="34"/>
      <c r="I90" s="22">
        <f t="shared" si="5"/>
        <v>-223.04200000000003</v>
      </c>
      <c r="J90" s="23">
        <f t="shared" si="7"/>
        <v>0.38318030973451322</v>
      </c>
      <c r="K90" s="23">
        <f t="shared" si="6"/>
        <v>0.10847725671337978</v>
      </c>
      <c r="L90" s="24">
        <f t="shared" si="4"/>
        <v>-1138.742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37"/>
      <c r="E91" s="37"/>
      <c r="F91" s="37">
        <v>0</v>
      </c>
      <c r="G91" s="34">
        <v>48.569000000000003</v>
      </c>
      <c r="H91" s="34"/>
      <c r="I91" s="22">
        <f t="shared" si="5"/>
        <v>48.569000000000003</v>
      </c>
      <c r="J91" s="23">
        <v>0</v>
      </c>
      <c r="K91" s="23">
        <v>0</v>
      </c>
      <c r="L91" s="24">
        <f t="shared" si="4"/>
        <v>48.569000000000003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33">
        <f>D94+D93</f>
        <v>629</v>
      </c>
      <c r="E92" s="33">
        <f>E94+E93</f>
        <v>629</v>
      </c>
      <c r="F92" s="33">
        <f>F94+F93</f>
        <v>189</v>
      </c>
      <c r="G92" s="33">
        <f>G94+G93</f>
        <v>136.25769</v>
      </c>
      <c r="H92" s="34"/>
      <c r="I92" s="22">
        <f t="shared" si="5"/>
        <v>-52.742310000000003</v>
      </c>
      <c r="J92" s="23">
        <f t="shared" si="7"/>
        <v>0.72094015873015871</v>
      </c>
      <c r="K92" s="23">
        <f t="shared" si="6"/>
        <v>0.21662589825119236</v>
      </c>
      <c r="L92" s="24">
        <f t="shared" si="4"/>
        <v>-492.74230999999997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37">
        <v>6.2</v>
      </c>
      <c r="E93" s="37">
        <v>6.2</v>
      </c>
      <c r="F93" s="34">
        <v>2</v>
      </c>
      <c r="G93" s="34">
        <v>0.48699999999999999</v>
      </c>
      <c r="H93" s="34"/>
      <c r="I93" s="22">
        <f t="shared" si="5"/>
        <v>-1.5129999999999999</v>
      </c>
      <c r="J93" s="23">
        <f t="shared" si="7"/>
        <v>0.24349999999999999</v>
      </c>
      <c r="K93" s="23">
        <f t="shared" si="6"/>
        <v>7.8548387096774183E-2</v>
      </c>
      <c r="L93" s="24">
        <f t="shared" si="4"/>
        <v>-5.7130000000000001</v>
      </c>
      <c r="M93" s="25"/>
      <c r="N93" s="12"/>
      <c r="O93" s="12"/>
    </row>
    <row r="94" spans="1:15" s="13" customFormat="1" ht="102" customHeight="1" x14ac:dyDescent="0.45">
      <c r="A94" s="38"/>
      <c r="B94" s="126" t="s">
        <v>134</v>
      </c>
      <c r="C94" s="36" t="s">
        <v>98</v>
      </c>
      <c r="D94" s="37">
        <v>622.79999999999995</v>
      </c>
      <c r="E94" s="37">
        <v>622.79999999999995</v>
      </c>
      <c r="F94" s="37">
        <v>187</v>
      </c>
      <c r="G94" s="34">
        <f>118.77069+17</f>
        <v>135.77069</v>
      </c>
      <c r="H94" s="34"/>
      <c r="I94" s="22">
        <f t="shared" si="5"/>
        <v>-51.229309999999998</v>
      </c>
      <c r="J94" s="23">
        <f t="shared" si="7"/>
        <v>0.72604647058823535</v>
      </c>
      <c r="K94" s="23">
        <f t="shared" si="6"/>
        <v>0.21800046563904948</v>
      </c>
      <c r="L94" s="24">
        <f t="shared" si="4"/>
        <v>-487.02930999999995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32">
        <v>16081.2</v>
      </c>
      <c r="E95" s="32">
        <v>16081.2</v>
      </c>
      <c r="F95" s="33">
        <f>F96+F105+F107</f>
        <v>4655.8</v>
      </c>
      <c r="G95" s="33">
        <f>G96+G105+G107</f>
        <v>8642.7053699999997</v>
      </c>
      <c r="H95" s="34"/>
      <c r="I95" s="22">
        <f t="shared" si="5"/>
        <v>3986.9053699999995</v>
      </c>
      <c r="J95" s="23">
        <f t="shared" si="7"/>
        <v>1.8563308926500277</v>
      </c>
      <c r="K95" s="23">
        <f t="shared" si="6"/>
        <v>0.5374415696589806</v>
      </c>
      <c r="L95" s="24">
        <f t="shared" si="4"/>
        <v>-7438.4946300000011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46">
        <f>D99+D100+D101+D102+D103+D104+D98+D97</f>
        <v>10982.6</v>
      </c>
      <c r="E96" s="46">
        <f>E99+E100+E101+E102+E103+E104+E98+E97</f>
        <v>10982.6</v>
      </c>
      <c r="F96" s="46">
        <f>F99+F100+F101+F102+F103+F104+F98+F97</f>
        <v>3387.7</v>
      </c>
      <c r="G96" s="46">
        <f>G99+G100+G101+G102+G103+G104+G98+G97</f>
        <v>6199.1335699999991</v>
      </c>
      <c r="H96" s="34"/>
      <c r="I96" s="22">
        <f t="shared" si="5"/>
        <v>2811.4335699999992</v>
      </c>
      <c r="J96" s="23">
        <f t="shared" si="7"/>
        <v>1.8298944918381201</v>
      </c>
      <c r="K96" s="23">
        <f t="shared" si="6"/>
        <v>0.56445045526560189</v>
      </c>
      <c r="L96" s="24">
        <f t="shared" si="4"/>
        <v>-4783.4664300000013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46">
        <v>5</v>
      </c>
      <c r="E97" s="46">
        <v>5</v>
      </c>
      <c r="F97" s="46">
        <v>0</v>
      </c>
      <c r="G97" s="46">
        <v>0</v>
      </c>
      <c r="H97" s="34"/>
      <c r="I97" s="22">
        <f t="shared" si="5"/>
        <v>0</v>
      </c>
      <c r="J97" s="23">
        <v>0</v>
      </c>
      <c r="K97" s="23">
        <f t="shared" si="6"/>
        <v>0</v>
      </c>
      <c r="L97" s="24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37">
        <v>2</v>
      </c>
      <c r="E98" s="37">
        <v>2</v>
      </c>
      <c r="F98" s="37">
        <v>1</v>
      </c>
      <c r="G98" s="34">
        <v>0.78</v>
      </c>
      <c r="H98" s="34"/>
      <c r="I98" s="22">
        <f t="shared" si="5"/>
        <v>-0.21999999999999997</v>
      </c>
      <c r="J98" s="23">
        <f t="shared" si="7"/>
        <v>0.78</v>
      </c>
      <c r="K98" s="23">
        <f t="shared" si="6"/>
        <v>0.39</v>
      </c>
      <c r="L98" s="24">
        <f t="shared" si="4"/>
        <v>-1.22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37">
        <v>3.5</v>
      </c>
      <c r="E99" s="37">
        <v>3.5</v>
      </c>
      <c r="F99" s="37">
        <v>1.2</v>
      </c>
      <c r="G99" s="34">
        <v>3.12</v>
      </c>
      <c r="H99" s="34"/>
      <c r="I99" s="22">
        <f t="shared" si="5"/>
        <v>1.9200000000000002</v>
      </c>
      <c r="J99" s="23">
        <f t="shared" si="7"/>
        <v>2.6</v>
      </c>
      <c r="K99" s="23">
        <f t="shared" si="6"/>
        <v>0.89142857142857146</v>
      </c>
      <c r="L99" s="24">
        <f t="shared" si="4"/>
        <v>-0.37999999999999989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37">
        <v>120</v>
      </c>
      <c r="E100" s="37">
        <v>120</v>
      </c>
      <c r="F100" s="37">
        <v>52</v>
      </c>
      <c r="G100" s="34">
        <v>18.068999999999999</v>
      </c>
      <c r="H100" s="34"/>
      <c r="I100" s="22">
        <f t="shared" si="5"/>
        <v>-33.930999999999997</v>
      </c>
      <c r="J100" s="23">
        <f t="shared" si="7"/>
        <v>0.3474807692307692</v>
      </c>
      <c r="K100" s="23">
        <f t="shared" si="6"/>
        <v>0.15057499999999999</v>
      </c>
      <c r="L100" s="24">
        <f t="shared" si="4"/>
        <v>-101.931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37">
        <v>2000</v>
      </c>
      <c r="E101" s="37">
        <v>2000</v>
      </c>
      <c r="F101" s="37">
        <v>500</v>
      </c>
      <c r="G101" s="34">
        <v>1001.235</v>
      </c>
      <c r="H101" s="34"/>
      <c r="I101" s="22">
        <f t="shared" si="5"/>
        <v>501.23500000000001</v>
      </c>
      <c r="J101" s="23">
        <f t="shared" si="7"/>
        <v>2.0024700000000002</v>
      </c>
      <c r="K101" s="23">
        <f t="shared" si="6"/>
        <v>0.50061750000000005</v>
      </c>
      <c r="L101" s="24">
        <f t="shared" si="4"/>
        <v>-998.76499999999999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37">
        <v>7878.1</v>
      </c>
      <c r="E102" s="37">
        <v>7878.1</v>
      </c>
      <c r="F102" s="37">
        <v>2530</v>
      </c>
      <c r="G102" s="34">
        <v>2379.8425499999998</v>
      </c>
      <c r="H102" s="34"/>
      <c r="I102" s="22">
        <f t="shared" si="5"/>
        <v>-150.15745000000015</v>
      </c>
      <c r="J102" s="23">
        <f t="shared" si="7"/>
        <v>0.94064922924901184</v>
      </c>
      <c r="K102" s="23">
        <f t="shared" si="6"/>
        <v>0.30208331323542476</v>
      </c>
      <c r="L102" s="24">
        <f t="shared" si="4"/>
        <v>-5498.257450000001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37">
        <v>974</v>
      </c>
      <c r="E103" s="37">
        <v>974</v>
      </c>
      <c r="F103" s="37">
        <v>303.5</v>
      </c>
      <c r="G103" s="34">
        <v>219.73808</v>
      </c>
      <c r="H103" s="34"/>
      <c r="I103" s="22">
        <f t="shared" si="5"/>
        <v>-83.761920000000003</v>
      </c>
      <c r="J103" s="23">
        <f t="shared" si="7"/>
        <v>0.72401344316309724</v>
      </c>
      <c r="K103" s="23">
        <f t="shared" si="6"/>
        <v>0.22560377823408623</v>
      </c>
      <c r="L103" s="24">
        <f t="shared" si="4"/>
        <v>-754.26192000000003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37"/>
      <c r="E104" s="37">
        <v>0</v>
      </c>
      <c r="F104" s="37">
        <v>0</v>
      </c>
      <c r="G104" s="34">
        <v>2576.3489399999999</v>
      </c>
      <c r="H104" s="34"/>
      <c r="I104" s="22">
        <f t="shared" si="5"/>
        <v>2576.3489399999999</v>
      </c>
      <c r="J104" s="23">
        <v>0</v>
      </c>
      <c r="K104" s="23">
        <v>0</v>
      </c>
      <c r="L104" s="24">
        <f t="shared" si="4"/>
        <v>2576.3489399999999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32">
        <v>4496.8</v>
      </c>
      <c r="E105" s="32">
        <v>4496.8</v>
      </c>
      <c r="F105" s="41">
        <f>F106</f>
        <v>1180</v>
      </c>
      <c r="G105" s="41">
        <f>G106</f>
        <v>1463.0432600000001</v>
      </c>
      <c r="H105" s="34"/>
      <c r="I105" s="22">
        <f t="shared" si="5"/>
        <v>283.04326000000015</v>
      </c>
      <c r="J105" s="23">
        <f t="shared" si="7"/>
        <v>1.2398671694915255</v>
      </c>
      <c r="K105" s="23">
        <f t="shared" si="6"/>
        <v>0.32535208592777087</v>
      </c>
      <c r="L105" s="24">
        <f t="shared" si="4"/>
        <v>-3033.7567399999998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37">
        <v>4496.8</v>
      </c>
      <c r="E106" s="37">
        <v>4496.8</v>
      </c>
      <c r="F106" s="37">
        <v>1180</v>
      </c>
      <c r="G106" s="34">
        <f>1264.76673+198.27653</f>
        <v>1463.0432600000001</v>
      </c>
      <c r="H106" s="34"/>
      <c r="I106" s="22">
        <f t="shared" si="5"/>
        <v>283.04326000000015</v>
      </c>
      <c r="J106" s="23">
        <f t="shared" si="7"/>
        <v>1.2398671694915255</v>
      </c>
      <c r="K106" s="23">
        <f t="shared" si="6"/>
        <v>0.32535208592777087</v>
      </c>
      <c r="L106" s="24">
        <f t="shared" si="4"/>
        <v>-3033.7567399999998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43">
        <v>601.79999999999995</v>
      </c>
      <c r="E107" s="43">
        <v>601.79999999999995</v>
      </c>
      <c r="F107" s="41">
        <f>F108+F109+F110+F111</f>
        <v>88.1</v>
      </c>
      <c r="G107" s="41">
        <f>G108+G109+G110+G111</f>
        <v>980.52854000000002</v>
      </c>
      <c r="H107" s="34"/>
      <c r="I107" s="22">
        <f t="shared" si="5"/>
        <v>892.42854</v>
      </c>
      <c r="J107" s="23">
        <f t="shared" si="7"/>
        <v>11.129722360953464</v>
      </c>
      <c r="K107" s="23">
        <f t="shared" si="6"/>
        <v>1.6293262545696245</v>
      </c>
      <c r="L107" s="24">
        <f t="shared" si="4"/>
        <v>378.72854000000007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37">
        <v>549</v>
      </c>
      <c r="E108" s="37">
        <v>549</v>
      </c>
      <c r="F108" s="37">
        <v>72.5</v>
      </c>
      <c r="G108" s="34">
        <v>129.89008999999999</v>
      </c>
      <c r="H108" s="34"/>
      <c r="I108" s="22">
        <f t="shared" si="5"/>
        <v>57.390089999999987</v>
      </c>
      <c r="J108" s="23">
        <f t="shared" si="7"/>
        <v>1.7915874482758618</v>
      </c>
      <c r="K108" s="23">
        <f t="shared" si="6"/>
        <v>0.23659397085610198</v>
      </c>
      <c r="L108" s="24">
        <f t="shared" si="4"/>
        <v>-419.10991000000001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37">
        <v>0</v>
      </c>
      <c r="E109" s="37">
        <v>0</v>
      </c>
      <c r="F109" s="37">
        <v>0</v>
      </c>
      <c r="G109" s="34">
        <v>175.30347</v>
      </c>
      <c r="H109" s="34"/>
      <c r="I109" s="22">
        <f t="shared" si="5"/>
        <v>175.30347</v>
      </c>
      <c r="J109" s="23">
        <v>0</v>
      </c>
      <c r="K109" s="23">
        <v>0</v>
      </c>
      <c r="L109" s="24">
        <f t="shared" si="4"/>
        <v>175.30347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37">
        <v>0</v>
      </c>
      <c r="E110" s="37">
        <v>0</v>
      </c>
      <c r="F110" s="37">
        <v>0</v>
      </c>
      <c r="G110" s="34">
        <v>17.199269999999999</v>
      </c>
      <c r="H110" s="34"/>
      <c r="I110" s="22">
        <f t="shared" si="5"/>
        <v>17.199269999999999</v>
      </c>
      <c r="J110" s="23">
        <v>0</v>
      </c>
      <c r="K110" s="23">
        <v>0</v>
      </c>
      <c r="L110" s="24">
        <f t="shared" si="4"/>
        <v>17.199269999999999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37">
        <v>52.8</v>
      </c>
      <c r="E111" s="37">
        <v>52.8</v>
      </c>
      <c r="F111" s="37">
        <v>15.6</v>
      </c>
      <c r="G111" s="34">
        <v>658.13571000000002</v>
      </c>
      <c r="H111" s="34"/>
      <c r="I111" s="22">
        <f t="shared" si="5"/>
        <v>642.53570999999999</v>
      </c>
      <c r="J111" s="23">
        <f t="shared" si="7"/>
        <v>42.188186538461544</v>
      </c>
      <c r="K111" s="23">
        <f t="shared" si="6"/>
        <v>12.464691477272728</v>
      </c>
      <c r="L111" s="24">
        <f t="shared" si="4"/>
        <v>605.33571000000006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43">
        <v>162.30000000000001</v>
      </c>
      <c r="E112" s="43">
        <v>162.30000000000001</v>
      </c>
      <c r="F112" s="41">
        <f>F114+F113</f>
        <v>47.6</v>
      </c>
      <c r="G112" s="41">
        <f>G114+G113</f>
        <v>55.856789999999997</v>
      </c>
      <c r="H112" s="46"/>
      <c r="I112" s="22">
        <f t="shared" si="5"/>
        <v>8.2567899999999952</v>
      </c>
      <c r="J112" s="23">
        <f t="shared" si="7"/>
        <v>1.1734619747899158</v>
      </c>
      <c r="K112" s="23">
        <f t="shared" si="6"/>
        <v>0.34415767097966726</v>
      </c>
      <c r="L112" s="24">
        <f t="shared" si="4"/>
        <v>-106.44321000000002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37">
        <v>20</v>
      </c>
      <c r="E113" s="37">
        <v>20</v>
      </c>
      <c r="F113" s="37">
        <v>0</v>
      </c>
      <c r="G113" s="34">
        <v>0</v>
      </c>
      <c r="H113" s="34"/>
      <c r="I113" s="22">
        <f t="shared" si="5"/>
        <v>0</v>
      </c>
      <c r="J113" s="23">
        <v>0</v>
      </c>
      <c r="K113" s="23">
        <f t="shared" si="6"/>
        <v>0</v>
      </c>
      <c r="L113" s="24">
        <f t="shared" si="4"/>
        <v>-20</v>
      </c>
      <c r="M113" s="25"/>
      <c r="N113" s="12"/>
      <c r="O113" s="12"/>
    </row>
    <row r="114" spans="1:15" s="13" customFormat="1" ht="61.5" x14ac:dyDescent="0.45">
      <c r="A114" s="38"/>
      <c r="B114" s="35">
        <v>24060000</v>
      </c>
      <c r="C114" s="45" t="s">
        <v>118</v>
      </c>
      <c r="D114" s="37">
        <v>142.30000000000001</v>
      </c>
      <c r="E114" s="37">
        <v>142.30000000000001</v>
      </c>
      <c r="F114" s="34">
        <f>F115</f>
        <v>47.6</v>
      </c>
      <c r="G114" s="34">
        <f>G115</f>
        <v>55.856789999999997</v>
      </c>
      <c r="H114" s="34"/>
      <c r="I114" s="22">
        <f t="shared" si="5"/>
        <v>8.2567899999999952</v>
      </c>
      <c r="J114" s="23">
        <f t="shared" si="7"/>
        <v>1.1734619747899158</v>
      </c>
      <c r="K114" s="23">
        <f t="shared" si="6"/>
        <v>0.39252839072382284</v>
      </c>
      <c r="L114" s="24">
        <f t="shared" si="4"/>
        <v>-86.443210000000022</v>
      </c>
      <c r="M114" s="25"/>
      <c r="N114" s="12"/>
      <c r="O114" s="12"/>
    </row>
    <row r="115" spans="1:15" s="13" customFormat="1" ht="61.5" x14ac:dyDescent="0.45">
      <c r="A115" s="38"/>
      <c r="B115" s="35">
        <v>24060300</v>
      </c>
      <c r="C115" s="45" t="s">
        <v>119</v>
      </c>
      <c r="D115" s="47">
        <v>142.30000000000001</v>
      </c>
      <c r="E115" s="47">
        <v>142.30000000000001</v>
      </c>
      <c r="F115" s="47">
        <v>47.6</v>
      </c>
      <c r="G115" s="48">
        <v>55.856789999999997</v>
      </c>
      <c r="H115" s="34"/>
      <c r="I115" s="22">
        <f t="shared" si="5"/>
        <v>8.2567899999999952</v>
      </c>
      <c r="J115" s="23">
        <f t="shared" si="7"/>
        <v>1.1734619747899158</v>
      </c>
      <c r="K115" s="23">
        <f t="shared" si="6"/>
        <v>0.39252839072382284</v>
      </c>
      <c r="L115" s="24">
        <f t="shared" si="4"/>
        <v>-86.443210000000022</v>
      </c>
      <c r="M115" s="25"/>
      <c r="N115" s="12"/>
      <c r="O115" s="12"/>
    </row>
    <row r="116" spans="1:15" s="13" customFormat="1" ht="61.5" x14ac:dyDescent="0.45">
      <c r="A116" s="38"/>
      <c r="B116" s="39">
        <v>30000000</v>
      </c>
      <c r="C116" s="49" t="s">
        <v>120</v>
      </c>
      <c r="D116" s="32">
        <v>48.4</v>
      </c>
      <c r="E116" s="32">
        <v>48.4</v>
      </c>
      <c r="F116" s="33">
        <f>F117</f>
        <v>18</v>
      </c>
      <c r="G116" s="33">
        <f>G117</f>
        <v>13.117800000000001</v>
      </c>
      <c r="H116" s="50"/>
      <c r="I116" s="22">
        <f t="shared" si="5"/>
        <v>-4.8821999999999992</v>
      </c>
      <c r="J116" s="23">
        <f t="shared" si="7"/>
        <v>0.72876666666666667</v>
      </c>
      <c r="K116" s="23">
        <f t="shared" si="6"/>
        <v>0.27102892561983472</v>
      </c>
      <c r="L116" s="24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51">
        <v>48.4</v>
      </c>
      <c r="E117" s="51">
        <v>48.4</v>
      </c>
      <c r="F117" s="52">
        <f>F118</f>
        <v>18</v>
      </c>
      <c r="G117" s="52">
        <f>G118</f>
        <v>13.117800000000001</v>
      </c>
      <c r="H117" s="34"/>
      <c r="I117" s="22">
        <f t="shared" si="5"/>
        <v>-4.8821999999999992</v>
      </c>
      <c r="J117" s="23">
        <f t="shared" si="7"/>
        <v>0.72876666666666667</v>
      </c>
      <c r="K117" s="23">
        <f t="shared" si="6"/>
        <v>0.27102892561983472</v>
      </c>
      <c r="L117" s="24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56">
        <v>48.4</v>
      </c>
      <c r="E118" s="56">
        <v>48.4</v>
      </c>
      <c r="F118" s="56">
        <v>18</v>
      </c>
      <c r="G118" s="57">
        <v>13.117800000000001</v>
      </c>
      <c r="H118" s="57"/>
      <c r="I118" s="22">
        <f t="shared" si="5"/>
        <v>-4.8821999999999992</v>
      </c>
      <c r="J118" s="23">
        <f t="shared" si="7"/>
        <v>0.72876666666666667</v>
      </c>
      <c r="K118" s="23">
        <f t="shared" si="6"/>
        <v>0.27102892561983472</v>
      </c>
      <c r="L118" s="24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61"/>
      <c r="E119" s="61"/>
      <c r="F119" s="61"/>
      <c r="G119" s="52"/>
      <c r="H119" s="52"/>
      <c r="I119" s="22">
        <f t="shared" si="5"/>
        <v>0</v>
      </c>
      <c r="J119" s="23" t="e">
        <f t="shared" si="7"/>
        <v>#DIV/0!</v>
      </c>
      <c r="K119" s="23" t="e">
        <f t="shared" si="6"/>
        <v>#DIV/0!</v>
      </c>
      <c r="L119" s="24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137"/>
      <c r="C120" s="138" t="s">
        <v>123</v>
      </c>
      <c r="D120" s="139"/>
      <c r="E120" s="139"/>
      <c r="F120" s="139"/>
      <c r="G120" s="140"/>
      <c r="H120" s="140"/>
      <c r="I120" s="141">
        <f t="shared" si="5"/>
        <v>0</v>
      </c>
      <c r="J120" s="142" t="e">
        <f t="shared" si="7"/>
        <v>#DIV/0!</v>
      </c>
      <c r="K120" s="142" t="e">
        <f t="shared" si="6"/>
        <v>#DIV/0!</v>
      </c>
      <c r="L120" s="143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136"/>
      <c r="B121" s="144"/>
      <c r="C121" s="71" t="s">
        <v>124</v>
      </c>
      <c r="D121" s="72">
        <v>1096783</v>
      </c>
      <c r="E121" s="73">
        <f>E5+E87+E116</f>
        <v>1392725.4</v>
      </c>
      <c r="F121" s="73">
        <f>F5+F87+F116</f>
        <v>434443.1</v>
      </c>
      <c r="G121" s="73">
        <f>G5+G87+G116</f>
        <v>500698.6777</v>
      </c>
      <c r="H121" s="74"/>
      <c r="I121" s="75">
        <f>G121-F121</f>
        <v>66255.577700000023</v>
      </c>
      <c r="J121" s="145">
        <f t="shared" si="7"/>
        <v>1.1525069167861108</v>
      </c>
      <c r="K121" s="145">
        <f t="shared" si="6"/>
        <v>0.35950997784631489</v>
      </c>
      <c r="L121" s="146">
        <f>G121-E121</f>
        <v>-892026.72229999991</v>
      </c>
      <c r="M121" s="25"/>
      <c r="N121" s="12"/>
      <c r="O121" s="12"/>
    </row>
    <row r="122" spans="1:15" s="13" customFormat="1" ht="68.25" customHeight="1" x14ac:dyDescent="0.4">
      <c r="A122" s="135"/>
      <c r="B122" s="129"/>
      <c r="C122" s="130"/>
      <c r="D122" s="131"/>
      <c r="E122" s="131"/>
      <c r="F122" s="131"/>
      <c r="G122" s="132"/>
      <c r="H122" s="132"/>
      <c r="I122" s="133"/>
      <c r="J122" s="134"/>
      <c r="K122" s="134"/>
      <c r="L122" s="133"/>
      <c r="M122" s="12"/>
      <c r="N122" s="12"/>
      <c r="O122" s="12"/>
    </row>
    <row r="123" spans="1:15" s="13" customFormat="1" ht="92.25" customHeight="1" x14ac:dyDescent="0.4">
      <c r="A123" s="78"/>
      <c r="B123" s="79"/>
      <c r="C123" s="80"/>
      <c r="D123" s="127"/>
      <c r="E123" s="127"/>
      <c r="F123" s="127"/>
      <c r="G123" s="128"/>
      <c r="H123" s="82"/>
      <c r="I123" s="83"/>
      <c r="J123" s="84"/>
      <c r="K123" s="84"/>
      <c r="L123" s="85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6" max="11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7"/>
  <sheetViews>
    <sheetView view="pageBreakPreview" topLeftCell="A118" zoomScale="30" zoomScaleNormal="50" zoomScaleSheetLayoutView="30" workbookViewId="0">
      <selection activeCell="F82" sqref="F82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3.42578125" style="124" customWidth="1"/>
    <col min="5" max="5" width="51.5703125" style="124" customWidth="1"/>
    <col min="6" max="6" width="47.5703125" style="124" customWidth="1"/>
    <col min="7" max="7" width="50.5703125" style="124" customWidth="1"/>
    <col min="8" max="8" width="19" style="124" hidden="1" customWidth="1"/>
    <col min="9" max="9" width="44.7109375" style="124" customWidth="1"/>
    <col min="10" max="10" width="39.42578125" style="124" customWidth="1"/>
    <col min="11" max="11" width="38.7109375" style="123" customWidth="1"/>
    <col min="12" max="12" width="49.42578125" style="123" customWidth="1"/>
    <col min="13" max="16384" width="9.140625" style="123"/>
  </cols>
  <sheetData>
    <row r="1" spans="1:15" s="4" customFormat="1" ht="120.75" customHeight="1" thickBot="1" x14ac:dyDescent="0.7">
      <c r="A1" s="1"/>
      <c r="B1" s="2"/>
      <c r="C1" s="212" t="s">
        <v>0</v>
      </c>
      <c r="D1" s="212"/>
      <c r="E1" s="212"/>
      <c r="F1" s="212"/>
      <c r="G1" s="212"/>
      <c r="H1" s="212"/>
      <c r="I1" s="212"/>
      <c r="J1" s="213"/>
      <c r="K1" s="213"/>
      <c r="L1" s="213"/>
      <c r="M1" s="3"/>
      <c r="N1" s="3"/>
      <c r="O1" s="3"/>
    </row>
    <row r="2" spans="1:15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207"/>
      <c r="K2" s="6"/>
      <c r="L2" s="7"/>
      <c r="M2" s="8"/>
      <c r="N2" s="8"/>
      <c r="O2" s="8"/>
    </row>
    <row r="3" spans="1:15" s="13" customFormat="1" ht="57.75" customHeight="1" x14ac:dyDescent="0.4">
      <c r="A3" s="202"/>
      <c r="B3" s="205"/>
      <c r="C3" s="208" t="s">
        <v>5</v>
      </c>
      <c r="D3" s="209" t="s">
        <v>6</v>
      </c>
      <c r="E3" s="209" t="s">
        <v>126</v>
      </c>
      <c r="F3" s="210" t="s">
        <v>131</v>
      </c>
      <c r="G3" s="10" t="s">
        <v>7</v>
      </c>
      <c r="H3" s="11" t="s">
        <v>7</v>
      </c>
      <c r="I3" s="197" t="s">
        <v>8</v>
      </c>
      <c r="J3" s="197" t="s">
        <v>9</v>
      </c>
      <c r="K3" s="197" t="s">
        <v>10</v>
      </c>
      <c r="L3" s="198" t="s">
        <v>11</v>
      </c>
      <c r="M3" s="12"/>
      <c r="N3" s="12"/>
      <c r="O3" s="12"/>
    </row>
    <row r="4" spans="1:15" s="13" customFormat="1" ht="88.5" customHeight="1" x14ac:dyDescent="0.4">
      <c r="A4" s="203"/>
      <c r="B4" s="206"/>
      <c r="C4" s="208"/>
      <c r="D4" s="209"/>
      <c r="E4" s="209"/>
      <c r="F4" s="211"/>
      <c r="G4" s="14">
        <v>42094</v>
      </c>
      <c r="H4" s="15">
        <f>'[1]412 zv (2011)'!$A$7+1</f>
        <v>40955</v>
      </c>
      <c r="I4" s="197"/>
      <c r="J4" s="197"/>
      <c r="K4" s="197"/>
      <c r="L4" s="198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12</v>
      </c>
      <c r="D5" s="19">
        <v>1078584.8</v>
      </c>
      <c r="E5" s="19">
        <v>1374527.2</v>
      </c>
      <c r="F5" s="20">
        <f>F6+F31+F44+F46+F49+F82</f>
        <v>303082.59999999998</v>
      </c>
      <c r="G5" s="20">
        <f>G6+G31+G44+G46+G49+G82</f>
        <v>403700.68891999999</v>
      </c>
      <c r="H5" s="21"/>
      <c r="I5" s="22">
        <f>G5-F5</f>
        <v>100618.08892000001</v>
      </c>
      <c r="J5" s="23">
        <f>G5/F5</f>
        <v>1.331982399913423</v>
      </c>
      <c r="K5" s="23">
        <f>G5/D5</f>
        <v>0.37428738929011418</v>
      </c>
      <c r="L5" s="24">
        <f>G5-D5</f>
        <v>-674884.11108000006</v>
      </c>
      <c r="M5" s="25"/>
      <c r="N5" s="12"/>
      <c r="O5" s="12"/>
    </row>
    <row r="6" spans="1:15" s="13" customFormat="1" ht="123.75" customHeight="1" x14ac:dyDescent="0.45">
      <c r="A6" s="16"/>
      <c r="B6" s="26">
        <v>11000000</v>
      </c>
      <c r="C6" s="27" t="s">
        <v>127</v>
      </c>
      <c r="D6" s="28">
        <v>705340.9</v>
      </c>
      <c r="E6" s="28">
        <v>770266.4</v>
      </c>
      <c r="F6" s="20">
        <f>F7+F13</f>
        <v>169413</v>
      </c>
      <c r="G6" s="20">
        <f>G7+G13</f>
        <v>248924.57945000005</v>
      </c>
      <c r="H6" s="21"/>
      <c r="I6" s="22">
        <f>G6-F6</f>
        <v>79511.579450000048</v>
      </c>
      <c r="J6" s="23">
        <f>G6/F6</f>
        <v>1.4693357620135412</v>
      </c>
      <c r="K6" s="23">
        <f>G6/D6</f>
        <v>0.35291385973789419</v>
      </c>
      <c r="L6" s="24">
        <f>G6-D6</f>
        <v>-456416.32054999995</v>
      </c>
      <c r="M6" s="25"/>
      <c r="N6" s="12"/>
      <c r="O6" s="12"/>
    </row>
    <row r="7" spans="1:15" s="13" customFormat="1" ht="59.25" customHeight="1" x14ac:dyDescent="0.45">
      <c r="A7" s="29"/>
      <c r="B7" s="30">
        <v>11010000</v>
      </c>
      <c r="C7" s="31" t="s">
        <v>14</v>
      </c>
      <c r="D7" s="32">
        <f>(SUM([1]Голосіїв!O12))/1000</f>
        <v>704381.4</v>
      </c>
      <c r="E7" s="32">
        <v>704381.4</v>
      </c>
      <c r="F7" s="33">
        <f>F8+F9+F11+F12+F10</f>
        <v>147400</v>
      </c>
      <c r="G7" s="33">
        <f>G8+G9+G11+G12+G10</f>
        <v>190307.02922000005</v>
      </c>
      <c r="H7" s="34">
        <f>('[1]класифікація (2011)'!C8-'[1]класифікація (2011)'!C12-'[1]класифікація (2011)'!C24)/1000</f>
        <v>93520.299014999997</v>
      </c>
      <c r="I7" s="22">
        <f>G7-F7</f>
        <v>42907.029220000055</v>
      </c>
      <c r="J7" s="23">
        <f>G7/F7</f>
        <v>1.2910924641791048</v>
      </c>
      <c r="K7" s="23">
        <f>G7/D7</f>
        <v>0.27017611370771583</v>
      </c>
      <c r="L7" s="24">
        <f>G7-D7</f>
        <v>-514074.37078</v>
      </c>
      <c r="M7" s="25"/>
      <c r="N7" s="12"/>
      <c r="O7" s="12"/>
    </row>
    <row r="8" spans="1:15" s="13" customFormat="1" ht="177" customHeight="1" x14ac:dyDescent="0.45">
      <c r="A8" s="29"/>
      <c r="B8" s="35">
        <v>11010100</v>
      </c>
      <c r="C8" s="36" t="s">
        <v>15</v>
      </c>
      <c r="D8" s="37">
        <v>631281.4</v>
      </c>
      <c r="E8" s="37">
        <v>631281.4</v>
      </c>
      <c r="F8" s="37">
        <v>132800</v>
      </c>
      <c r="G8" s="34">
        <f>433351.60866-260010.96521</f>
        <v>173340.64345000003</v>
      </c>
      <c r="H8" s="34"/>
      <c r="I8" s="22">
        <f t="shared" ref="I8:I72" si="0">G8-F8</f>
        <v>40540.643450000032</v>
      </c>
      <c r="J8" s="23">
        <f>G8/F8</f>
        <v>1.3052759295933738</v>
      </c>
      <c r="K8" s="23">
        <f>G8/D8</f>
        <v>0.27458538054503112</v>
      </c>
      <c r="L8" s="24">
        <f t="shared" ref="L8:L72" si="1">G8-D8</f>
        <v>-457940.75654999999</v>
      </c>
      <c r="M8" s="25"/>
      <c r="N8" s="12"/>
      <c r="O8" s="12"/>
    </row>
    <row r="9" spans="1:15" s="13" customFormat="1" ht="314.25" customHeight="1" x14ac:dyDescent="0.45">
      <c r="A9" s="38"/>
      <c r="B9" s="35">
        <v>11010200</v>
      </c>
      <c r="C9" s="36" t="s">
        <v>16</v>
      </c>
      <c r="D9" s="37">
        <v>7200</v>
      </c>
      <c r="E9" s="37">
        <v>7200</v>
      </c>
      <c r="F9" s="37">
        <v>2000</v>
      </c>
      <c r="G9" s="34">
        <f>4338.25695-2602.95417</f>
        <v>1735.30278</v>
      </c>
      <c r="H9" s="34"/>
      <c r="I9" s="22">
        <f t="shared" si="0"/>
        <v>-264.69722000000002</v>
      </c>
      <c r="J9" s="23">
        <f>G9/F9</f>
        <v>0.86765139000000002</v>
      </c>
      <c r="K9" s="23">
        <f>G9/D9</f>
        <v>0.241014275</v>
      </c>
      <c r="L9" s="24">
        <f t="shared" si="1"/>
        <v>-5464.69722</v>
      </c>
      <c r="M9" s="25"/>
      <c r="N9" s="12"/>
      <c r="O9" s="12"/>
    </row>
    <row r="10" spans="1:15" s="13" customFormat="1" ht="133.5" customHeight="1" x14ac:dyDescent="0.45">
      <c r="A10" s="38"/>
      <c r="B10" s="35">
        <v>11010300</v>
      </c>
      <c r="C10" s="36" t="s">
        <v>17</v>
      </c>
      <c r="D10" s="37">
        <v>0</v>
      </c>
      <c r="E10" s="37">
        <v>0</v>
      </c>
      <c r="F10" s="37">
        <v>0</v>
      </c>
      <c r="G10" s="34">
        <f>0.28734-0.1724</f>
        <v>0.11493999999999999</v>
      </c>
      <c r="H10" s="34"/>
      <c r="I10" s="22">
        <f t="shared" si="0"/>
        <v>0.11493999999999999</v>
      </c>
      <c r="J10" s="23">
        <v>0</v>
      </c>
      <c r="K10" s="23">
        <v>0</v>
      </c>
      <c r="L10" s="24">
        <f t="shared" si="1"/>
        <v>0.11493999999999999</v>
      </c>
      <c r="M10" s="25"/>
      <c r="N10" s="12"/>
      <c r="O10" s="12"/>
    </row>
    <row r="11" spans="1:15" s="13" customFormat="1" ht="193.5" customHeight="1" x14ac:dyDescent="0.45">
      <c r="A11" s="38"/>
      <c r="B11" s="35">
        <v>11010400</v>
      </c>
      <c r="C11" s="36" t="s">
        <v>18</v>
      </c>
      <c r="D11" s="37">
        <v>40000</v>
      </c>
      <c r="E11" s="37">
        <v>40000</v>
      </c>
      <c r="F11" s="37">
        <v>9100</v>
      </c>
      <c r="G11" s="34">
        <f>29341.52061-17604.91233</f>
        <v>11736.60828</v>
      </c>
      <c r="H11" s="34"/>
      <c r="I11" s="22">
        <f t="shared" si="0"/>
        <v>2636.6082800000004</v>
      </c>
      <c r="J11" s="23">
        <f>G11/F11</f>
        <v>1.2897371736263736</v>
      </c>
      <c r="K11" s="23">
        <f>G11/D11</f>
        <v>0.29341520700000001</v>
      </c>
      <c r="L11" s="24">
        <f t="shared" si="1"/>
        <v>-28263.39172</v>
      </c>
      <c r="M11" s="25"/>
      <c r="N11" s="12"/>
      <c r="O11" s="12"/>
    </row>
    <row r="12" spans="1:15" s="13" customFormat="1" ht="184.5" x14ac:dyDescent="0.45">
      <c r="A12" s="38"/>
      <c r="B12" s="35">
        <v>11010500</v>
      </c>
      <c r="C12" s="36" t="s">
        <v>19</v>
      </c>
      <c r="D12" s="37">
        <v>25900</v>
      </c>
      <c r="E12" s="37">
        <v>25900</v>
      </c>
      <c r="F12" s="37">
        <v>3500</v>
      </c>
      <c r="G12" s="34">
        <f>8735.89941-5241.53964</f>
        <v>3494.35977</v>
      </c>
      <c r="H12" s="34"/>
      <c r="I12" s="22">
        <f t="shared" si="0"/>
        <v>-5.6402299999999741</v>
      </c>
      <c r="J12" s="23">
        <f>G12/F12</f>
        <v>0.99838850571428572</v>
      </c>
      <c r="K12" s="23">
        <f>G12/D12</f>
        <v>0.13491736563706563</v>
      </c>
      <c r="L12" s="24">
        <f t="shared" si="1"/>
        <v>-22405.640230000001</v>
      </c>
      <c r="M12" s="25"/>
      <c r="N12" s="12"/>
      <c r="O12" s="12"/>
    </row>
    <row r="13" spans="1:15" s="13" customFormat="1" ht="61.5" x14ac:dyDescent="0.45">
      <c r="A13" s="38"/>
      <c r="B13" s="39">
        <v>11020000</v>
      </c>
      <c r="C13" s="31" t="s">
        <v>20</v>
      </c>
      <c r="D13" s="32">
        <v>959.5</v>
      </c>
      <c r="E13" s="33">
        <f>E14+E15+E23+E16+E17+E18+E19+E20+E21+E22+E24+E25+E26+E27+E28+E29+E30</f>
        <v>65885</v>
      </c>
      <c r="F13" s="33">
        <f>F14+F15+F23+F16+F17+F18+F19+F20+F21+F22+F24+F25+F26+F27+F28+F29+F30</f>
        <v>22012.999999999996</v>
      </c>
      <c r="G13" s="33">
        <f>G14+G15+G23+G16+G17+G18+G19+G20+G21+G22+G24+G25+G26+G27+G28+G29+G30</f>
        <v>58617.550230000001</v>
      </c>
      <c r="H13" s="34"/>
      <c r="I13" s="22">
        <f t="shared" si="0"/>
        <v>36604.550230000008</v>
      </c>
      <c r="J13" s="23">
        <f>G13/F13</f>
        <v>2.662860592831509</v>
      </c>
      <c r="K13" s="23">
        <f>G13/D13</f>
        <v>61.091766784783744</v>
      </c>
      <c r="L13" s="24">
        <f t="shared" si="1"/>
        <v>57658.050230000001</v>
      </c>
      <c r="M13" s="25"/>
      <c r="N13" s="12"/>
      <c r="O13" s="12"/>
    </row>
    <row r="14" spans="1:15" s="13" customFormat="1" ht="122.25" customHeight="1" x14ac:dyDescent="0.45">
      <c r="A14" s="38"/>
      <c r="B14" s="35">
        <v>11020200</v>
      </c>
      <c r="C14" s="36" t="s">
        <v>21</v>
      </c>
      <c r="D14" s="37">
        <v>487.5</v>
      </c>
      <c r="E14" s="37">
        <v>487.5</v>
      </c>
      <c r="F14" s="37">
        <v>119.4</v>
      </c>
      <c r="G14" s="34">
        <v>76.345659999999995</v>
      </c>
      <c r="H14" s="34"/>
      <c r="I14" s="22">
        <f t="shared" si="0"/>
        <v>-43.05434000000001</v>
      </c>
      <c r="J14" s="23">
        <f>G14/F14</f>
        <v>0.63941088777219424</v>
      </c>
      <c r="K14" s="23">
        <f>G14/D14</f>
        <v>0.15660648205128205</v>
      </c>
      <c r="L14" s="24">
        <f t="shared" si="1"/>
        <v>-411.15433999999999</v>
      </c>
      <c r="M14" s="25"/>
      <c r="N14" s="12"/>
      <c r="O14" s="12"/>
    </row>
    <row r="15" spans="1:15" s="13" customFormat="1" ht="126.75" customHeight="1" x14ac:dyDescent="0.45">
      <c r="A15" s="38"/>
      <c r="B15" s="35">
        <v>11020202</v>
      </c>
      <c r="C15" s="36" t="s">
        <v>22</v>
      </c>
      <c r="D15" s="37"/>
      <c r="E15" s="37"/>
      <c r="F15" s="37"/>
      <c r="G15" s="34">
        <v>97.257000000000005</v>
      </c>
      <c r="H15" s="34"/>
      <c r="I15" s="22">
        <f t="shared" si="0"/>
        <v>97.257000000000005</v>
      </c>
      <c r="J15" s="23">
        <v>0</v>
      </c>
      <c r="K15" s="23">
        <v>0</v>
      </c>
      <c r="L15" s="24">
        <f t="shared" si="1"/>
        <v>97.257000000000005</v>
      </c>
      <c r="M15" s="25"/>
      <c r="N15" s="12"/>
      <c r="O15" s="12"/>
    </row>
    <row r="16" spans="1:15" s="13" customFormat="1" ht="129.75" customHeight="1" x14ac:dyDescent="0.45">
      <c r="A16" s="38"/>
      <c r="B16" s="35">
        <v>11020300</v>
      </c>
      <c r="C16" s="36" t="s">
        <v>23</v>
      </c>
      <c r="D16" s="37"/>
      <c r="E16" s="37">
        <v>5851.3</v>
      </c>
      <c r="F16" s="37">
        <v>1963</v>
      </c>
      <c r="G16" s="34">
        <f>184604.70928-166144.23834</f>
        <v>18460.470939999999</v>
      </c>
      <c r="H16" s="34"/>
      <c r="I16" s="22">
        <f t="shared" si="0"/>
        <v>16497.470939999999</v>
      </c>
      <c r="J16" s="23">
        <v>0</v>
      </c>
      <c r="K16" s="23">
        <v>0</v>
      </c>
      <c r="L16" s="24">
        <f t="shared" si="1"/>
        <v>18460.470939999999</v>
      </c>
      <c r="M16" s="25"/>
      <c r="N16" s="12"/>
      <c r="O16" s="12"/>
    </row>
    <row r="17" spans="1:15" s="13" customFormat="1" ht="70.5" customHeight="1" x14ac:dyDescent="0.45">
      <c r="A17" s="38"/>
      <c r="B17" s="35">
        <v>11020500</v>
      </c>
      <c r="C17" s="36" t="s">
        <v>24</v>
      </c>
      <c r="D17" s="37"/>
      <c r="E17" s="37">
        <v>7205.9</v>
      </c>
      <c r="F17" s="37">
        <v>2417.5</v>
      </c>
      <c r="G17" s="34">
        <f>32677.69905-29409.92909</f>
        <v>3267.7699599999978</v>
      </c>
      <c r="H17" s="34"/>
      <c r="I17" s="22">
        <f t="shared" si="0"/>
        <v>850.26995999999781</v>
      </c>
      <c r="J17" s="23">
        <v>0</v>
      </c>
      <c r="K17" s="23">
        <v>0</v>
      </c>
      <c r="L17" s="24">
        <f t="shared" si="1"/>
        <v>3267.7699599999978</v>
      </c>
      <c r="M17" s="25"/>
      <c r="N17" s="12"/>
      <c r="O17" s="12"/>
    </row>
    <row r="18" spans="1:15" s="13" customFormat="1" ht="129" customHeight="1" x14ac:dyDescent="0.45">
      <c r="A18" s="38"/>
      <c r="B18" s="35">
        <v>11020600</v>
      </c>
      <c r="C18" s="36" t="s">
        <v>25</v>
      </c>
      <c r="D18" s="37"/>
      <c r="E18" s="37">
        <v>3343.9</v>
      </c>
      <c r="F18" s="37">
        <v>1121.8</v>
      </c>
      <c r="G18" s="34">
        <f>1983.285-1784.9565</f>
        <v>198.32850000000008</v>
      </c>
      <c r="H18" s="34"/>
      <c r="I18" s="22">
        <f t="shared" si="0"/>
        <v>-923.47149999999988</v>
      </c>
      <c r="J18" s="23">
        <v>0</v>
      </c>
      <c r="K18" s="23">
        <v>0</v>
      </c>
      <c r="L18" s="24">
        <f t="shared" si="1"/>
        <v>198.32850000000008</v>
      </c>
      <c r="M18" s="25"/>
      <c r="N18" s="12"/>
      <c r="O18" s="12"/>
    </row>
    <row r="19" spans="1:15" s="13" customFormat="1" ht="130.5" customHeight="1" x14ac:dyDescent="0.45">
      <c r="A19" s="38"/>
      <c r="B19" s="35">
        <v>11020700</v>
      </c>
      <c r="C19" s="36" t="s">
        <v>26</v>
      </c>
      <c r="D19" s="37"/>
      <c r="E19" s="37">
        <v>652.20000000000005</v>
      </c>
      <c r="F19" s="37">
        <v>218.8</v>
      </c>
      <c r="G19" s="34">
        <f>18954.25181-17058.82663</f>
        <v>1895.425180000002</v>
      </c>
      <c r="H19" s="34"/>
      <c r="I19" s="22">
        <f t="shared" si="0"/>
        <v>1676.625180000002</v>
      </c>
      <c r="J19" s="23">
        <v>0</v>
      </c>
      <c r="K19" s="23">
        <v>0</v>
      </c>
      <c r="L19" s="24">
        <f t="shared" si="1"/>
        <v>1895.425180000002</v>
      </c>
      <c r="M19" s="25"/>
      <c r="N19" s="12"/>
      <c r="O19" s="12"/>
    </row>
    <row r="20" spans="1:15" s="13" customFormat="1" ht="177" customHeight="1" x14ac:dyDescent="0.45">
      <c r="A20" s="38"/>
      <c r="B20" s="35">
        <v>11020900</v>
      </c>
      <c r="C20" s="36" t="s">
        <v>27</v>
      </c>
      <c r="D20" s="37"/>
      <c r="E20" s="37">
        <v>56</v>
      </c>
      <c r="F20" s="37">
        <v>18.8</v>
      </c>
      <c r="G20" s="34">
        <f>1196.025-1076.42249</f>
        <v>119.60251000000017</v>
      </c>
      <c r="H20" s="34"/>
      <c r="I20" s="22">
        <f t="shared" si="0"/>
        <v>100.80251000000017</v>
      </c>
      <c r="J20" s="23">
        <v>0</v>
      </c>
      <c r="K20" s="23">
        <v>0</v>
      </c>
      <c r="L20" s="24">
        <f t="shared" si="1"/>
        <v>119.60251000000017</v>
      </c>
      <c r="M20" s="25"/>
      <c r="N20" s="12"/>
      <c r="O20" s="12"/>
    </row>
    <row r="21" spans="1:15" s="13" customFormat="1" ht="84" customHeight="1" x14ac:dyDescent="0.45">
      <c r="A21" s="38"/>
      <c r="B21" s="35">
        <v>11021000</v>
      </c>
      <c r="C21" s="36" t="s">
        <v>28</v>
      </c>
      <c r="D21" s="37"/>
      <c r="E21" s="37">
        <v>8307.2999999999993</v>
      </c>
      <c r="F21" s="37">
        <v>2787</v>
      </c>
      <c r="G21" s="34">
        <f>142155.51369-127939.96225</f>
        <v>14215.551439999996</v>
      </c>
      <c r="H21" s="34"/>
      <c r="I21" s="22">
        <f t="shared" si="0"/>
        <v>11428.551439999996</v>
      </c>
      <c r="J21" s="23">
        <v>0</v>
      </c>
      <c r="K21" s="23">
        <v>0</v>
      </c>
      <c r="L21" s="24">
        <f t="shared" si="1"/>
        <v>14215.551439999996</v>
      </c>
      <c r="M21" s="25"/>
      <c r="N21" s="12"/>
      <c r="O21" s="12"/>
    </row>
    <row r="22" spans="1:15" s="13" customFormat="1" ht="59.25" customHeight="1" x14ac:dyDescent="0.45">
      <c r="A22" s="38"/>
      <c r="B22" s="35">
        <v>11021600</v>
      </c>
      <c r="C22" s="36" t="s">
        <v>29</v>
      </c>
      <c r="D22" s="37"/>
      <c r="E22" s="37">
        <v>54.3</v>
      </c>
      <c r="F22" s="37">
        <v>18.2</v>
      </c>
      <c r="G22" s="34">
        <f>1743.3306-1568.99754</f>
        <v>174.33305999999993</v>
      </c>
      <c r="H22" s="34"/>
      <c r="I22" s="22">
        <f t="shared" si="0"/>
        <v>156.13305999999994</v>
      </c>
      <c r="J22" s="23">
        <v>0</v>
      </c>
      <c r="K22" s="23">
        <v>0</v>
      </c>
      <c r="L22" s="24">
        <f t="shared" si="1"/>
        <v>174.33305999999993</v>
      </c>
      <c r="M22" s="25"/>
      <c r="N22" s="12"/>
      <c r="O22" s="12"/>
    </row>
    <row r="23" spans="1:15" s="13" customFormat="1" ht="180.75" customHeight="1" x14ac:dyDescent="0.45">
      <c r="A23" s="38"/>
      <c r="B23" s="35">
        <v>11023200</v>
      </c>
      <c r="C23" s="36" t="s">
        <v>30</v>
      </c>
      <c r="D23" s="37">
        <v>472</v>
      </c>
      <c r="E23" s="37">
        <v>472</v>
      </c>
      <c r="F23" s="37">
        <v>112</v>
      </c>
      <c r="G23" s="34">
        <f>89.527+0.67</f>
        <v>90.197000000000003</v>
      </c>
      <c r="H23" s="34"/>
      <c r="I23" s="22">
        <f t="shared" si="0"/>
        <v>-21.802999999999997</v>
      </c>
      <c r="J23" s="23">
        <f>G23/F23</f>
        <v>0.80533035714285717</v>
      </c>
      <c r="K23" s="23">
        <f>G23/D23</f>
        <v>0.19109533898305087</v>
      </c>
      <c r="L23" s="24">
        <f t="shared" si="1"/>
        <v>-381.803</v>
      </c>
      <c r="M23" s="25"/>
      <c r="N23" s="12"/>
      <c r="O23" s="12"/>
    </row>
    <row r="24" spans="1:15" s="13" customFormat="1" ht="118.5" customHeight="1" x14ac:dyDescent="0.45">
      <c r="A24" s="38"/>
      <c r="B24" s="35">
        <v>11023300</v>
      </c>
      <c r="C24" s="36" t="s">
        <v>31</v>
      </c>
      <c r="D24" s="37"/>
      <c r="E24" s="37">
        <v>16819.900000000001</v>
      </c>
      <c r="F24" s="37">
        <v>5642.8</v>
      </c>
      <c r="G24" s="34">
        <f>93677.62651-84309.86386</f>
        <v>9367.7626500000042</v>
      </c>
      <c r="H24" s="34"/>
      <c r="I24" s="22">
        <f t="shared" si="0"/>
        <v>3724.962650000004</v>
      </c>
      <c r="J24" s="23">
        <v>0</v>
      </c>
      <c r="K24" s="23">
        <v>0</v>
      </c>
      <c r="L24" s="24">
        <f t="shared" si="1"/>
        <v>9367.7626500000042</v>
      </c>
      <c r="M24" s="25"/>
      <c r="N24" s="12"/>
      <c r="O24" s="12"/>
    </row>
    <row r="25" spans="1:15" s="13" customFormat="1" ht="123.75" customHeight="1" x14ac:dyDescent="0.45">
      <c r="A25" s="38"/>
      <c r="B25" s="35">
        <v>11023500</v>
      </c>
      <c r="C25" s="36" t="s">
        <v>32</v>
      </c>
      <c r="D25" s="37"/>
      <c r="E25" s="37">
        <v>345.5</v>
      </c>
      <c r="F25" s="37">
        <v>115.9</v>
      </c>
      <c r="G25" s="34">
        <f>2533.88-2280.492</f>
        <v>253.38799999999992</v>
      </c>
      <c r="H25" s="34"/>
      <c r="I25" s="22">
        <f t="shared" si="0"/>
        <v>137.48799999999991</v>
      </c>
      <c r="J25" s="23">
        <v>0</v>
      </c>
      <c r="K25" s="23">
        <v>0</v>
      </c>
      <c r="L25" s="24">
        <f t="shared" si="1"/>
        <v>253.38799999999992</v>
      </c>
      <c r="M25" s="25"/>
      <c r="N25" s="12"/>
      <c r="O25" s="12"/>
    </row>
    <row r="26" spans="1:15" s="13" customFormat="1" ht="109.5" customHeight="1" x14ac:dyDescent="0.45">
      <c r="A26" s="38"/>
      <c r="B26" s="35">
        <v>11023600</v>
      </c>
      <c r="C26" s="36" t="s">
        <v>33</v>
      </c>
      <c r="D26" s="37"/>
      <c r="E26" s="37">
        <v>3254.6</v>
      </c>
      <c r="F26" s="37">
        <v>1091.9000000000001</v>
      </c>
      <c r="G26" s="34">
        <f>31616.89126-28455.20213</f>
        <v>3161.6891299999988</v>
      </c>
      <c r="H26" s="34"/>
      <c r="I26" s="22">
        <f t="shared" si="0"/>
        <v>2069.7891299999987</v>
      </c>
      <c r="J26" s="23">
        <v>0</v>
      </c>
      <c r="K26" s="23">
        <v>0</v>
      </c>
      <c r="L26" s="24">
        <f t="shared" si="1"/>
        <v>3161.6891299999988</v>
      </c>
      <c r="M26" s="25"/>
      <c r="N26" s="12"/>
      <c r="O26" s="12"/>
    </row>
    <row r="27" spans="1:15" s="13" customFormat="1" ht="192.75" customHeight="1" x14ac:dyDescent="0.45">
      <c r="A27" s="38"/>
      <c r="B27" s="35">
        <v>11023700</v>
      </c>
      <c r="C27" s="36" t="s">
        <v>34</v>
      </c>
      <c r="D27" s="37"/>
      <c r="E27" s="37">
        <v>1964.8</v>
      </c>
      <c r="F27" s="37">
        <v>659.2</v>
      </c>
      <c r="G27" s="34">
        <f>18811.18953-16930.07058</f>
        <v>1881.11895</v>
      </c>
      <c r="H27" s="34"/>
      <c r="I27" s="22">
        <f t="shared" si="0"/>
        <v>1221.91895</v>
      </c>
      <c r="J27" s="23">
        <v>0</v>
      </c>
      <c r="K27" s="23">
        <v>0</v>
      </c>
      <c r="L27" s="24">
        <f t="shared" si="1"/>
        <v>1881.11895</v>
      </c>
      <c r="M27" s="25"/>
      <c r="N27" s="12"/>
      <c r="O27" s="12"/>
    </row>
    <row r="28" spans="1:15" s="13" customFormat="1" ht="123.75" customHeight="1" x14ac:dyDescent="0.45">
      <c r="A28" s="38"/>
      <c r="B28" s="35">
        <v>11023900</v>
      </c>
      <c r="C28" s="36" t="s">
        <v>35</v>
      </c>
      <c r="D28" s="37"/>
      <c r="E28" s="37">
        <v>11.6</v>
      </c>
      <c r="F28" s="37">
        <v>3.9</v>
      </c>
      <c r="G28" s="34">
        <f>0.18041-0.16237</f>
        <v>1.804E-2</v>
      </c>
      <c r="H28" s="34"/>
      <c r="I28" s="22">
        <f t="shared" si="0"/>
        <v>-3.8819599999999999</v>
      </c>
      <c r="J28" s="23">
        <v>0</v>
      </c>
      <c r="K28" s="23">
        <v>0</v>
      </c>
      <c r="L28" s="24">
        <f t="shared" si="1"/>
        <v>1.804E-2</v>
      </c>
      <c r="M28" s="25"/>
      <c r="N28" s="12"/>
      <c r="O28" s="12"/>
    </row>
    <row r="29" spans="1:15" s="13" customFormat="1" ht="120" customHeight="1" x14ac:dyDescent="0.45">
      <c r="A29" s="38"/>
      <c r="B29" s="35">
        <v>11024000</v>
      </c>
      <c r="C29" s="36" t="s">
        <v>36</v>
      </c>
      <c r="D29" s="37"/>
      <c r="E29" s="37">
        <v>17007.3</v>
      </c>
      <c r="F29" s="37">
        <v>5705.7</v>
      </c>
      <c r="G29" s="34">
        <f>53106.56302-47795.90671</f>
        <v>5310.6563099999985</v>
      </c>
      <c r="H29" s="34"/>
      <c r="I29" s="22">
        <f t="shared" si="0"/>
        <v>-395.04369000000133</v>
      </c>
      <c r="J29" s="23">
        <v>0</v>
      </c>
      <c r="K29" s="23">
        <v>0</v>
      </c>
      <c r="L29" s="24">
        <f t="shared" si="1"/>
        <v>5310.6563099999985</v>
      </c>
      <c r="M29" s="25"/>
      <c r="N29" s="12"/>
      <c r="O29" s="12"/>
    </row>
    <row r="30" spans="1:15" s="13" customFormat="1" ht="182.25" customHeight="1" x14ac:dyDescent="0.45">
      <c r="A30" s="38"/>
      <c r="B30" s="35">
        <v>11024600</v>
      </c>
      <c r="C30" s="36" t="s">
        <v>37</v>
      </c>
      <c r="D30" s="37"/>
      <c r="E30" s="37">
        <v>50.9</v>
      </c>
      <c r="F30" s="37">
        <v>17.100000000000001</v>
      </c>
      <c r="G30" s="34">
        <f>476.359-428.7231</f>
        <v>47.635899999999992</v>
      </c>
      <c r="H30" s="34"/>
      <c r="I30" s="22">
        <f t="shared" si="0"/>
        <v>30.535899999999991</v>
      </c>
      <c r="J30" s="23">
        <v>0</v>
      </c>
      <c r="K30" s="23">
        <v>0</v>
      </c>
      <c r="L30" s="24">
        <f t="shared" si="1"/>
        <v>47.635899999999992</v>
      </c>
      <c r="M30" s="25"/>
      <c r="N30" s="12"/>
      <c r="O30" s="12"/>
    </row>
    <row r="31" spans="1:15" s="13" customFormat="1" ht="107.25" customHeight="1" x14ac:dyDescent="0.45">
      <c r="A31" s="38"/>
      <c r="B31" s="39">
        <v>13000000</v>
      </c>
      <c r="C31" s="40" t="s">
        <v>38</v>
      </c>
      <c r="D31" s="32">
        <v>7626.9</v>
      </c>
      <c r="E31" s="32"/>
      <c r="F31" s="33">
        <f>F32+F34+F39+F42</f>
        <v>1831.2999999999997</v>
      </c>
      <c r="G31" s="33">
        <f>G32+G34+G39+G42</f>
        <v>3079.7337200000002</v>
      </c>
      <c r="H31" s="34"/>
      <c r="I31" s="22">
        <f t="shared" si="0"/>
        <v>1248.4337200000004</v>
      </c>
      <c r="J31" s="23">
        <f>G31/F31</f>
        <v>1.6817199366570199</v>
      </c>
      <c r="K31" s="23">
        <f>G31/D31</f>
        <v>0.40379888552360726</v>
      </c>
      <c r="L31" s="24">
        <f t="shared" si="1"/>
        <v>-4547.1662799999995</v>
      </c>
      <c r="M31" s="25"/>
      <c r="N31" s="12"/>
      <c r="O31" s="12"/>
    </row>
    <row r="32" spans="1:15" s="13" customFormat="1" ht="114.75" customHeight="1" x14ac:dyDescent="0.45">
      <c r="A32" s="38"/>
      <c r="B32" s="30">
        <v>13010000</v>
      </c>
      <c r="C32" s="31" t="s">
        <v>39</v>
      </c>
      <c r="D32" s="37">
        <v>0</v>
      </c>
      <c r="E32" s="37"/>
      <c r="F32" s="37">
        <v>0</v>
      </c>
      <c r="G32" s="41">
        <f>G33</f>
        <v>11.074949999999999</v>
      </c>
      <c r="H32" s="34"/>
      <c r="I32" s="22">
        <f t="shared" si="0"/>
        <v>11.074949999999999</v>
      </c>
      <c r="J32" s="23">
        <v>0</v>
      </c>
      <c r="K32" s="23">
        <v>0</v>
      </c>
      <c r="L32" s="24">
        <f t="shared" si="1"/>
        <v>11.074949999999999</v>
      </c>
      <c r="M32" s="25"/>
      <c r="N32" s="12"/>
      <c r="O32" s="12"/>
    </row>
    <row r="33" spans="1:15" s="13" customFormat="1" ht="306" customHeight="1" x14ac:dyDescent="0.45">
      <c r="A33" s="38"/>
      <c r="B33" s="42">
        <v>13010200</v>
      </c>
      <c r="C33" s="36" t="s">
        <v>40</v>
      </c>
      <c r="D33" s="37">
        <v>0</v>
      </c>
      <c r="E33" s="37"/>
      <c r="F33" s="37">
        <v>0</v>
      </c>
      <c r="G33" s="34">
        <v>11.074949999999999</v>
      </c>
      <c r="H33" s="34"/>
      <c r="I33" s="22">
        <f t="shared" si="0"/>
        <v>11.074949999999999</v>
      </c>
      <c r="J33" s="23">
        <v>0</v>
      </c>
      <c r="K33" s="23">
        <v>0</v>
      </c>
      <c r="L33" s="24">
        <f t="shared" si="1"/>
        <v>11.074949999999999</v>
      </c>
      <c r="M33" s="25"/>
      <c r="N33" s="12"/>
      <c r="O33" s="12"/>
    </row>
    <row r="34" spans="1:15" s="13" customFormat="1" ht="143.25" customHeight="1" x14ac:dyDescent="0.45">
      <c r="A34" s="38"/>
      <c r="B34" s="30">
        <v>13020000</v>
      </c>
      <c r="C34" s="31" t="s">
        <v>41</v>
      </c>
      <c r="D34" s="43">
        <v>6555.9</v>
      </c>
      <c r="E34" s="43">
        <v>6555.9</v>
      </c>
      <c r="F34" s="41">
        <f>F35+F36+F37+F38</f>
        <v>1320.1</v>
      </c>
      <c r="G34" s="41">
        <f>G35+G36+G37+G38</f>
        <v>3041.4668999999999</v>
      </c>
      <c r="H34" s="34"/>
      <c r="I34" s="22">
        <f t="shared" si="0"/>
        <v>1721.3669</v>
      </c>
      <c r="J34" s="23">
        <f>G34/F34</f>
        <v>2.3039670479509127</v>
      </c>
      <c r="K34" s="23">
        <f>G34/D34</f>
        <v>0.46392820207751795</v>
      </c>
      <c r="L34" s="24">
        <f t="shared" si="1"/>
        <v>-3514.4330999999997</v>
      </c>
      <c r="M34" s="25"/>
      <c r="N34" s="12"/>
      <c r="O34" s="12"/>
    </row>
    <row r="35" spans="1:15" s="13" customFormat="1" ht="189.75" customHeight="1" x14ac:dyDescent="0.45">
      <c r="A35" s="38"/>
      <c r="B35" s="42">
        <v>13020100</v>
      </c>
      <c r="C35" s="36" t="s">
        <v>42</v>
      </c>
      <c r="D35" s="37">
        <v>6555.4</v>
      </c>
      <c r="E35" s="37">
        <v>6555.4</v>
      </c>
      <c r="F35" s="37">
        <v>1320</v>
      </c>
      <c r="G35" s="34">
        <f>6081.65194-3040.82603</f>
        <v>3040.8259099999996</v>
      </c>
      <c r="H35" s="34"/>
      <c r="I35" s="22">
        <f t="shared" si="0"/>
        <v>1720.8259099999996</v>
      </c>
      <c r="J35" s="23">
        <f>G35/F35</f>
        <v>2.3036559924242419</v>
      </c>
      <c r="K35" s="23">
        <f>G35/D35</f>
        <v>0.4638658068157549</v>
      </c>
      <c r="L35" s="24">
        <f t="shared" si="1"/>
        <v>-3514.5740900000001</v>
      </c>
      <c r="M35" s="25"/>
      <c r="N35" s="12"/>
      <c r="O35" s="12"/>
    </row>
    <row r="36" spans="1:15" s="13" customFormat="1" ht="120" customHeight="1" x14ac:dyDescent="0.45">
      <c r="A36" s="38"/>
      <c r="B36" s="42">
        <v>13020200</v>
      </c>
      <c r="C36" s="36" t="s">
        <v>43</v>
      </c>
      <c r="D36" s="37">
        <v>0.5</v>
      </c>
      <c r="E36" s="37">
        <v>0.5</v>
      </c>
      <c r="F36" s="37">
        <v>0.1</v>
      </c>
      <c r="G36" s="34">
        <v>0</v>
      </c>
      <c r="H36" s="34"/>
      <c r="I36" s="22">
        <f t="shared" si="0"/>
        <v>-0.1</v>
      </c>
      <c r="J36" s="23">
        <f>G36/F36</f>
        <v>0</v>
      </c>
      <c r="K36" s="23">
        <f>G36/D36</f>
        <v>0</v>
      </c>
      <c r="L36" s="24">
        <f t="shared" si="1"/>
        <v>-0.5</v>
      </c>
      <c r="M36" s="25"/>
      <c r="N36" s="12"/>
      <c r="O36" s="12"/>
    </row>
    <row r="37" spans="1:15" s="13" customFormat="1" ht="193.5" customHeight="1" x14ac:dyDescent="0.45">
      <c r="A37" s="38"/>
      <c r="B37" s="42">
        <v>13020401</v>
      </c>
      <c r="C37" s="36" t="s">
        <v>44</v>
      </c>
      <c r="D37" s="37"/>
      <c r="E37" s="37"/>
      <c r="F37" s="37">
        <v>0</v>
      </c>
      <c r="G37" s="34">
        <f>0.4404-0.2202</f>
        <v>0.22020000000000001</v>
      </c>
      <c r="H37" s="34"/>
      <c r="I37" s="22">
        <f t="shared" si="0"/>
        <v>0.22020000000000001</v>
      </c>
      <c r="J37" s="23">
        <v>0</v>
      </c>
      <c r="K37" s="23">
        <v>0</v>
      </c>
      <c r="L37" s="24">
        <f t="shared" si="1"/>
        <v>0.22020000000000001</v>
      </c>
      <c r="M37" s="25"/>
      <c r="N37" s="12"/>
      <c r="O37" s="12"/>
    </row>
    <row r="38" spans="1:15" s="13" customFormat="1" ht="185.25" customHeight="1" x14ac:dyDescent="0.45">
      <c r="A38" s="38"/>
      <c r="B38" s="42">
        <v>13020600</v>
      </c>
      <c r="C38" s="36" t="s">
        <v>45</v>
      </c>
      <c r="D38" s="37"/>
      <c r="E38" s="37"/>
      <c r="F38" s="37">
        <v>0</v>
      </c>
      <c r="G38" s="34">
        <f>0.84158-0.42079</f>
        <v>0.42079</v>
      </c>
      <c r="H38" s="34"/>
      <c r="I38" s="22">
        <f t="shared" si="0"/>
        <v>0.42079</v>
      </c>
      <c r="J38" s="23">
        <v>0</v>
      </c>
      <c r="K38" s="23">
        <v>0</v>
      </c>
      <c r="L38" s="24">
        <f t="shared" si="1"/>
        <v>0.42079</v>
      </c>
      <c r="M38" s="25"/>
      <c r="N38" s="12"/>
      <c r="O38" s="12"/>
    </row>
    <row r="39" spans="1:15" s="13" customFormat="1" ht="84.75" customHeight="1" x14ac:dyDescent="0.45">
      <c r="A39" s="38"/>
      <c r="B39" s="39">
        <v>13030000</v>
      </c>
      <c r="C39" s="40" t="s">
        <v>46</v>
      </c>
      <c r="D39" s="32">
        <v>1070.8</v>
      </c>
      <c r="E39" s="32">
        <v>1070.8</v>
      </c>
      <c r="F39" s="33">
        <f>F41+F40</f>
        <v>511.1</v>
      </c>
      <c r="G39" s="33">
        <f>G41+G40</f>
        <v>26.909760000000002</v>
      </c>
      <c r="H39" s="34"/>
      <c r="I39" s="22">
        <f t="shared" si="0"/>
        <v>-484.19024000000002</v>
      </c>
      <c r="J39" s="23">
        <f>G39/F39</f>
        <v>5.2650675014674235E-2</v>
      </c>
      <c r="K39" s="23">
        <f>G39/D39</f>
        <v>2.5130519237952936E-2</v>
      </c>
      <c r="L39" s="24">
        <f t="shared" si="1"/>
        <v>-1043.8902399999999</v>
      </c>
      <c r="M39" s="25"/>
      <c r="N39" s="12"/>
      <c r="O39" s="12"/>
    </row>
    <row r="40" spans="1:15" s="13" customFormat="1" ht="184.5" x14ac:dyDescent="0.45">
      <c r="A40" s="38"/>
      <c r="B40" s="42">
        <v>13030100</v>
      </c>
      <c r="C40" s="36" t="s">
        <v>47</v>
      </c>
      <c r="D40" s="37">
        <v>165.8</v>
      </c>
      <c r="E40" s="37">
        <v>165.8</v>
      </c>
      <c r="F40" s="37">
        <v>21.1</v>
      </c>
      <c r="G40" s="34">
        <f>103.79006-77.84252</f>
        <v>25.947540000000004</v>
      </c>
      <c r="H40" s="34"/>
      <c r="I40" s="22">
        <f t="shared" si="0"/>
        <v>4.8475400000000022</v>
      </c>
      <c r="J40" s="23">
        <f>G40/F40</f>
        <v>1.2297412322274883</v>
      </c>
      <c r="K40" s="23">
        <f>G40/D40</f>
        <v>0.15649903498190593</v>
      </c>
      <c r="L40" s="24">
        <f t="shared" si="1"/>
        <v>-139.85246000000001</v>
      </c>
      <c r="M40" s="25"/>
      <c r="N40" s="12"/>
      <c r="O40" s="12"/>
    </row>
    <row r="41" spans="1:15" s="13" customFormat="1" ht="156" customHeight="1" x14ac:dyDescent="0.45">
      <c r="A41" s="38"/>
      <c r="B41" s="42">
        <v>13030200</v>
      </c>
      <c r="C41" s="36" t="s">
        <v>48</v>
      </c>
      <c r="D41" s="37">
        <v>905</v>
      </c>
      <c r="E41" s="37">
        <v>905</v>
      </c>
      <c r="F41" s="37">
        <v>490</v>
      </c>
      <c r="G41" s="34">
        <v>0.96221999999999996</v>
      </c>
      <c r="H41" s="34"/>
      <c r="I41" s="22">
        <f t="shared" si="0"/>
        <v>-489.03778</v>
      </c>
      <c r="J41" s="23">
        <f>G41/F41</f>
        <v>1.9637142857142856E-3</v>
      </c>
      <c r="K41" s="23">
        <f>G41/D41</f>
        <v>1.0632265193370165E-3</v>
      </c>
      <c r="L41" s="24">
        <f t="shared" si="1"/>
        <v>-904.03778</v>
      </c>
      <c r="M41" s="25"/>
      <c r="N41" s="12"/>
      <c r="O41" s="12"/>
    </row>
    <row r="42" spans="1:15" s="13" customFormat="1" ht="123.75" customHeight="1" x14ac:dyDescent="0.45">
      <c r="A42" s="38"/>
      <c r="B42" s="30">
        <v>13070000</v>
      </c>
      <c r="C42" s="31" t="s">
        <v>49</v>
      </c>
      <c r="D42" s="37">
        <v>0.2</v>
      </c>
      <c r="E42" s="37">
        <v>0.2</v>
      </c>
      <c r="F42" s="41">
        <f>F43</f>
        <v>0.1</v>
      </c>
      <c r="G42" s="41">
        <f>G43</f>
        <v>0.28211000000000003</v>
      </c>
      <c r="H42" s="34"/>
      <c r="I42" s="22">
        <f t="shared" si="0"/>
        <v>0.18211000000000002</v>
      </c>
      <c r="J42" s="23">
        <f>G42/F42</f>
        <v>2.8210999999999999</v>
      </c>
      <c r="K42" s="23">
        <f>G42/D42</f>
        <v>1.41055</v>
      </c>
      <c r="L42" s="24">
        <f t="shared" si="1"/>
        <v>8.2110000000000016E-2</v>
      </c>
      <c r="M42" s="25"/>
      <c r="N42" s="12"/>
      <c r="O42" s="12"/>
    </row>
    <row r="43" spans="1:15" s="13" customFormat="1" ht="121.5" customHeight="1" x14ac:dyDescent="0.45">
      <c r="A43" s="38"/>
      <c r="B43" s="42">
        <v>13070200</v>
      </c>
      <c r="C43" s="36" t="s">
        <v>50</v>
      </c>
      <c r="D43" s="37"/>
      <c r="E43" s="37"/>
      <c r="F43" s="37">
        <v>0.1</v>
      </c>
      <c r="G43" s="34">
        <v>0.28211000000000003</v>
      </c>
      <c r="H43" s="34"/>
      <c r="I43" s="22">
        <f t="shared" si="0"/>
        <v>0.18211000000000002</v>
      </c>
      <c r="J43" s="23">
        <f>G43/F43</f>
        <v>2.8210999999999999</v>
      </c>
      <c r="K43" s="23">
        <v>0</v>
      </c>
      <c r="L43" s="24">
        <f t="shared" si="1"/>
        <v>0.28211000000000003</v>
      </c>
      <c r="M43" s="25"/>
      <c r="N43" s="12"/>
      <c r="O43" s="12"/>
    </row>
    <row r="44" spans="1:15" s="13" customFormat="1" ht="87.75" customHeight="1" x14ac:dyDescent="0.45">
      <c r="A44" s="38"/>
      <c r="B44" s="39">
        <v>14000000</v>
      </c>
      <c r="C44" s="40" t="s">
        <v>51</v>
      </c>
      <c r="D44" s="32"/>
      <c r="E44" s="33">
        <f>E45</f>
        <v>89700</v>
      </c>
      <c r="F44" s="33">
        <f>F45</f>
        <v>10200</v>
      </c>
      <c r="G44" s="33">
        <f>G45</f>
        <v>20160.965929999998</v>
      </c>
      <c r="H44" s="34"/>
      <c r="I44" s="22">
        <f t="shared" si="0"/>
        <v>9960.9659299999985</v>
      </c>
      <c r="J44" s="23">
        <v>0</v>
      </c>
      <c r="K44" s="23">
        <v>0</v>
      </c>
      <c r="L44" s="24">
        <f t="shared" si="1"/>
        <v>20160.965929999998</v>
      </c>
      <c r="M44" s="25"/>
      <c r="N44" s="12"/>
      <c r="O44" s="12"/>
    </row>
    <row r="45" spans="1:15" s="13" customFormat="1" ht="177" customHeight="1" x14ac:dyDescent="0.45">
      <c r="A45" s="38"/>
      <c r="B45" s="42">
        <v>14040001</v>
      </c>
      <c r="C45" s="36" t="s">
        <v>52</v>
      </c>
      <c r="D45" s="37"/>
      <c r="E45" s="37">
        <v>89700</v>
      </c>
      <c r="F45" s="37">
        <v>10200</v>
      </c>
      <c r="G45" s="34">
        <v>20160.965929999998</v>
      </c>
      <c r="H45" s="34"/>
      <c r="I45" s="22">
        <f t="shared" si="0"/>
        <v>9960.9659299999985</v>
      </c>
      <c r="J45" s="23">
        <v>0</v>
      </c>
      <c r="K45" s="23">
        <v>0</v>
      </c>
      <c r="L45" s="24">
        <f t="shared" si="1"/>
        <v>20160.965929999998</v>
      </c>
      <c r="M45" s="25"/>
      <c r="N45" s="12"/>
      <c r="O45" s="12"/>
    </row>
    <row r="46" spans="1:15" s="13" customFormat="1" ht="121.5" x14ac:dyDescent="0.45">
      <c r="A46" s="38"/>
      <c r="B46" s="39">
        <v>16000000</v>
      </c>
      <c r="C46" s="40" t="s">
        <v>53</v>
      </c>
      <c r="D46" s="32"/>
      <c r="E46" s="32">
        <v>0</v>
      </c>
      <c r="F46" s="33">
        <f>F48</f>
        <v>0</v>
      </c>
      <c r="G46" s="33">
        <f>G48</f>
        <v>9.0749999999999997E-2</v>
      </c>
      <c r="H46" s="34"/>
      <c r="I46" s="22">
        <f t="shared" si="0"/>
        <v>9.0749999999999997E-2</v>
      </c>
      <c r="J46" s="23">
        <v>0</v>
      </c>
      <c r="K46" s="23">
        <v>0</v>
      </c>
      <c r="L46" s="24">
        <f t="shared" si="1"/>
        <v>9.0749999999999997E-2</v>
      </c>
      <c r="M46" s="25"/>
      <c r="N46" s="12"/>
      <c r="O46" s="12"/>
    </row>
    <row r="47" spans="1:15" s="13" customFormat="1" ht="121.5" x14ac:dyDescent="0.45">
      <c r="A47" s="38"/>
      <c r="B47" s="39">
        <v>16010000</v>
      </c>
      <c r="C47" s="40" t="s">
        <v>54</v>
      </c>
      <c r="D47" s="32"/>
      <c r="E47" s="32">
        <v>0</v>
      </c>
      <c r="F47" s="33">
        <f>F48</f>
        <v>0</v>
      </c>
      <c r="G47" s="33">
        <f>G48</f>
        <v>9.0749999999999997E-2</v>
      </c>
      <c r="H47" s="34"/>
      <c r="I47" s="22">
        <f t="shared" si="0"/>
        <v>9.0749999999999997E-2</v>
      </c>
      <c r="J47" s="23">
        <v>0</v>
      </c>
      <c r="K47" s="23">
        <v>0</v>
      </c>
      <c r="L47" s="24">
        <f t="shared" si="1"/>
        <v>9.0749999999999997E-2</v>
      </c>
      <c r="M47" s="25"/>
      <c r="N47" s="12"/>
      <c r="O47" s="12"/>
    </row>
    <row r="48" spans="1:15" s="13" customFormat="1" ht="56.25" customHeight="1" x14ac:dyDescent="0.45">
      <c r="A48" s="38"/>
      <c r="B48" s="42">
        <v>16010200</v>
      </c>
      <c r="C48" s="36" t="s">
        <v>55</v>
      </c>
      <c r="D48" s="37">
        <v>0</v>
      </c>
      <c r="E48" s="37">
        <v>0</v>
      </c>
      <c r="F48" s="37">
        <v>0</v>
      </c>
      <c r="G48" s="34">
        <v>9.0749999999999997E-2</v>
      </c>
      <c r="H48" s="34"/>
      <c r="I48" s="22">
        <f t="shared" si="0"/>
        <v>9.0749999999999997E-2</v>
      </c>
      <c r="J48" s="23">
        <v>0</v>
      </c>
      <c r="K48" s="23">
        <v>0</v>
      </c>
      <c r="L48" s="24">
        <f t="shared" si="1"/>
        <v>9.0749999999999997E-2</v>
      </c>
      <c r="M48" s="25"/>
      <c r="N48" s="12"/>
      <c r="O48" s="12"/>
    </row>
    <row r="49" spans="1:15" s="13" customFormat="1" ht="61.5" x14ac:dyDescent="0.45">
      <c r="A49" s="38"/>
      <c r="B49" s="39">
        <v>18000000</v>
      </c>
      <c r="C49" s="40" t="s">
        <v>56</v>
      </c>
      <c r="D49" s="32">
        <v>365617</v>
      </c>
      <c r="E49" s="33">
        <f>E50+E62+E64+E67+E77</f>
        <v>506933.89999999991</v>
      </c>
      <c r="F49" s="33">
        <f>F50+F62+F64+F67+F77</f>
        <v>121638.3</v>
      </c>
      <c r="G49" s="33">
        <f>G50+G62+G64+G67+G77</f>
        <v>131441.56708999997</v>
      </c>
      <c r="H49" s="34"/>
      <c r="I49" s="22">
        <f t="shared" si="0"/>
        <v>9803.2670899999648</v>
      </c>
      <c r="J49" s="23">
        <f>G49/F49</f>
        <v>1.0805935884503479</v>
      </c>
      <c r="K49" s="23">
        <f>G49/D49</f>
        <v>0.35950616927002838</v>
      </c>
      <c r="L49" s="24">
        <f t="shared" si="1"/>
        <v>-234175.43291000003</v>
      </c>
      <c r="M49" s="25"/>
      <c r="N49" s="12"/>
      <c r="O49" s="12"/>
    </row>
    <row r="50" spans="1:15" s="13" customFormat="1" ht="54.75" customHeight="1" x14ac:dyDescent="0.45">
      <c r="A50" s="38"/>
      <c r="B50" s="30">
        <v>18010000</v>
      </c>
      <c r="C50" s="31" t="s">
        <v>57</v>
      </c>
      <c r="D50" s="37">
        <v>360978.2</v>
      </c>
      <c r="E50" s="34">
        <f>E51+E52+E53+E54+E55+E56+E57+E58+E60+E59</f>
        <v>380750.19999999995</v>
      </c>
      <c r="F50" s="34">
        <f>F51+F52+F53+F54+F55+F56+F57+F58+F60+F59</f>
        <v>85309</v>
      </c>
      <c r="G50" s="34">
        <f>G51+G52+G53+G54+G55+G56+G57+G58+G60+G59</f>
        <v>85692.099999999977</v>
      </c>
      <c r="H50" s="34"/>
      <c r="I50" s="22">
        <f t="shared" si="0"/>
        <v>383.09999999997672</v>
      </c>
      <c r="J50" s="23">
        <f>G50/F50</f>
        <v>1.0044907336857773</v>
      </c>
      <c r="K50" s="23">
        <f>G50/D50</f>
        <v>0.23738857360361365</v>
      </c>
      <c r="L50" s="24">
        <f t="shared" si="1"/>
        <v>-275286.10000000003</v>
      </c>
      <c r="M50" s="25"/>
      <c r="N50" s="12"/>
      <c r="O50" s="12"/>
    </row>
    <row r="51" spans="1:15" s="13" customFormat="1" ht="177.75" customHeight="1" x14ac:dyDescent="0.45">
      <c r="A51" s="38"/>
      <c r="B51" s="42">
        <v>18010100</v>
      </c>
      <c r="C51" s="36" t="s">
        <v>58</v>
      </c>
      <c r="D51" s="37">
        <v>0</v>
      </c>
      <c r="E51" s="37">
        <v>1951</v>
      </c>
      <c r="F51" s="37">
        <v>0</v>
      </c>
      <c r="G51" s="34">
        <v>478.96749</v>
      </c>
      <c r="H51" s="34"/>
      <c r="I51" s="22">
        <f t="shared" si="0"/>
        <v>478.96749</v>
      </c>
      <c r="J51" s="23">
        <v>0</v>
      </c>
      <c r="K51" s="23">
        <v>0</v>
      </c>
      <c r="L51" s="24">
        <f t="shared" si="1"/>
        <v>478.96749</v>
      </c>
      <c r="M51" s="25"/>
      <c r="N51" s="12"/>
      <c r="O51" s="12"/>
    </row>
    <row r="52" spans="1:15" s="13" customFormat="1" ht="207" customHeight="1" x14ac:dyDescent="0.45">
      <c r="A52" s="38"/>
      <c r="B52" s="42">
        <v>18010200</v>
      </c>
      <c r="C52" s="36" t="s">
        <v>59</v>
      </c>
      <c r="D52" s="37">
        <v>0</v>
      </c>
      <c r="E52" s="37">
        <v>1315</v>
      </c>
      <c r="F52" s="37">
        <v>0</v>
      </c>
      <c r="G52" s="34">
        <v>-0.40444000000000002</v>
      </c>
      <c r="H52" s="34"/>
      <c r="I52" s="22">
        <f t="shared" si="0"/>
        <v>-0.40444000000000002</v>
      </c>
      <c r="J52" s="23">
        <v>0</v>
      </c>
      <c r="K52" s="23">
        <v>0</v>
      </c>
      <c r="L52" s="24">
        <f t="shared" si="1"/>
        <v>-0.40444000000000002</v>
      </c>
      <c r="M52" s="25"/>
      <c r="N52" s="12"/>
      <c r="O52" s="12"/>
    </row>
    <row r="53" spans="1:15" s="13" customFormat="1" ht="182.25" customHeight="1" x14ac:dyDescent="0.45">
      <c r="A53" s="38"/>
      <c r="B53" s="42">
        <v>18010300</v>
      </c>
      <c r="C53" s="36" t="s">
        <v>60</v>
      </c>
      <c r="D53" s="37">
        <v>0</v>
      </c>
      <c r="E53" s="37">
        <v>0</v>
      </c>
      <c r="F53" s="37">
        <v>0</v>
      </c>
      <c r="G53" s="34">
        <v>10.73521</v>
      </c>
      <c r="H53" s="34"/>
      <c r="I53" s="22">
        <f t="shared" si="0"/>
        <v>10.73521</v>
      </c>
      <c r="J53" s="23">
        <v>0</v>
      </c>
      <c r="K53" s="23">
        <v>0</v>
      </c>
      <c r="L53" s="24">
        <f t="shared" si="1"/>
        <v>10.73521</v>
      </c>
      <c r="M53" s="25"/>
      <c r="N53" s="12"/>
      <c r="O53" s="12"/>
    </row>
    <row r="54" spans="1:15" s="13" customFormat="1" ht="192.75" customHeight="1" x14ac:dyDescent="0.45">
      <c r="A54" s="38"/>
      <c r="B54" s="42">
        <v>18010400</v>
      </c>
      <c r="C54" s="36" t="s">
        <v>58</v>
      </c>
      <c r="D54" s="37">
        <v>0</v>
      </c>
      <c r="E54" s="37">
        <v>8105</v>
      </c>
      <c r="F54" s="37">
        <v>9</v>
      </c>
      <c r="G54" s="34">
        <v>1205.692</v>
      </c>
      <c r="H54" s="34"/>
      <c r="I54" s="22">
        <f t="shared" si="0"/>
        <v>1196.692</v>
      </c>
      <c r="J54" s="23">
        <v>0</v>
      </c>
      <c r="K54" s="23">
        <v>0</v>
      </c>
      <c r="L54" s="24">
        <f t="shared" si="1"/>
        <v>1205.692</v>
      </c>
      <c r="M54" s="25"/>
      <c r="N54" s="12"/>
      <c r="O54" s="12"/>
    </row>
    <row r="55" spans="1:15" s="13" customFormat="1" ht="85.5" customHeight="1" x14ac:dyDescent="0.45">
      <c r="A55" s="38"/>
      <c r="B55" s="42">
        <v>18010500</v>
      </c>
      <c r="C55" s="36" t="s">
        <v>61</v>
      </c>
      <c r="D55" s="37">
        <v>115874</v>
      </c>
      <c r="E55" s="37">
        <v>115874</v>
      </c>
      <c r="F55" s="37">
        <v>25490</v>
      </c>
      <c r="G55" s="34">
        <v>25572.80386</v>
      </c>
      <c r="H55" s="34"/>
      <c r="I55" s="22">
        <f t="shared" si="0"/>
        <v>82.803859999999986</v>
      </c>
      <c r="J55" s="23">
        <f>G55/F55</f>
        <v>1.0032484841114162</v>
      </c>
      <c r="K55" s="23">
        <f>G55/D55</f>
        <v>0.22069492604035418</v>
      </c>
      <c r="L55" s="24">
        <f t="shared" si="1"/>
        <v>-90301.19614</v>
      </c>
      <c r="M55" s="25"/>
      <c r="N55" s="12"/>
      <c r="O55" s="12"/>
    </row>
    <row r="56" spans="1:15" s="13" customFormat="1" ht="86.25" customHeight="1" x14ac:dyDescent="0.45">
      <c r="A56" s="38"/>
      <c r="B56" s="42">
        <v>18010600</v>
      </c>
      <c r="C56" s="36" t="s">
        <v>62</v>
      </c>
      <c r="D56" s="37">
        <v>234996.8</v>
      </c>
      <c r="E56" s="37">
        <v>234996.8</v>
      </c>
      <c r="F56" s="37">
        <v>58610</v>
      </c>
      <c r="G56" s="34">
        <v>56824.306259999998</v>
      </c>
      <c r="H56" s="34"/>
      <c r="I56" s="22">
        <f t="shared" si="0"/>
        <v>-1785.6937400000024</v>
      </c>
      <c r="J56" s="23">
        <f>G56/F56</f>
        <v>0.96953260979355049</v>
      </c>
      <c r="K56" s="23">
        <f>G56/D56</f>
        <v>0.24180885126946411</v>
      </c>
      <c r="L56" s="24">
        <f t="shared" si="1"/>
        <v>-178172.49374000001</v>
      </c>
      <c r="M56" s="25"/>
      <c r="N56" s="12"/>
      <c r="O56" s="12"/>
    </row>
    <row r="57" spans="1:15" s="13" customFormat="1" ht="81.75" customHeight="1" x14ac:dyDescent="0.45">
      <c r="A57" s="38"/>
      <c r="B57" s="42">
        <v>18010700</v>
      </c>
      <c r="C57" s="36" t="s">
        <v>63</v>
      </c>
      <c r="D57" s="37">
        <v>6136.6</v>
      </c>
      <c r="E57" s="37">
        <v>6136.6</v>
      </c>
      <c r="F57" s="37">
        <v>700</v>
      </c>
      <c r="G57" s="34">
        <v>742.93985999999995</v>
      </c>
      <c r="H57" s="34"/>
      <c r="I57" s="22">
        <f t="shared" si="0"/>
        <v>42.939859999999953</v>
      </c>
      <c r="J57" s="23">
        <f>G57/F57</f>
        <v>1.061342657142857</v>
      </c>
      <c r="K57" s="23">
        <f>G57/D57</f>
        <v>0.12106701756673074</v>
      </c>
      <c r="L57" s="24">
        <f t="shared" si="1"/>
        <v>-5393.66014</v>
      </c>
      <c r="M57" s="25"/>
      <c r="N57" s="12"/>
      <c r="O57" s="12"/>
    </row>
    <row r="58" spans="1:15" s="13" customFormat="1" ht="78.75" customHeight="1" x14ac:dyDescent="0.45">
      <c r="A58" s="38"/>
      <c r="B58" s="42">
        <v>18010900</v>
      </c>
      <c r="C58" s="36" t="s">
        <v>64</v>
      </c>
      <c r="D58" s="37">
        <v>3970.8</v>
      </c>
      <c r="E58" s="37">
        <v>3970.8</v>
      </c>
      <c r="F58" s="37">
        <v>500</v>
      </c>
      <c r="G58" s="34">
        <v>366.74194999999997</v>
      </c>
      <c r="H58" s="34"/>
      <c r="I58" s="22">
        <f t="shared" si="0"/>
        <v>-133.25805000000003</v>
      </c>
      <c r="J58" s="23">
        <f>G58/F58</f>
        <v>0.73348389999999997</v>
      </c>
      <c r="K58" s="23">
        <f>G58/D58</f>
        <v>9.2359713407877492E-2</v>
      </c>
      <c r="L58" s="24">
        <f t="shared" si="1"/>
        <v>-3604.0580500000001</v>
      </c>
      <c r="M58" s="25"/>
      <c r="N58" s="12"/>
      <c r="O58" s="12"/>
    </row>
    <row r="59" spans="1:15" s="13" customFormat="1" ht="81.75" customHeight="1" x14ac:dyDescent="0.45">
      <c r="A59" s="38"/>
      <c r="B59" s="42">
        <v>18011000</v>
      </c>
      <c r="C59" s="36" t="s">
        <v>65</v>
      </c>
      <c r="D59" s="37">
        <v>0</v>
      </c>
      <c r="E59" s="37">
        <v>5647</v>
      </c>
      <c r="F59" s="37">
        <v>0</v>
      </c>
      <c r="G59" s="34">
        <v>0</v>
      </c>
      <c r="H59" s="34"/>
      <c r="I59" s="22">
        <f t="shared" si="0"/>
        <v>0</v>
      </c>
      <c r="J59" s="23">
        <v>0</v>
      </c>
      <c r="K59" s="23">
        <v>0</v>
      </c>
      <c r="L59" s="24">
        <f t="shared" si="1"/>
        <v>0</v>
      </c>
      <c r="M59" s="25"/>
      <c r="N59" s="12"/>
      <c r="O59" s="12"/>
    </row>
    <row r="60" spans="1:15" s="13" customFormat="1" ht="78.75" customHeight="1" x14ac:dyDescent="0.45">
      <c r="A60" s="38"/>
      <c r="B60" s="42">
        <v>18011101</v>
      </c>
      <c r="C60" s="36" t="s">
        <v>66</v>
      </c>
      <c r="D60" s="37">
        <v>0</v>
      </c>
      <c r="E60" s="37">
        <v>2754</v>
      </c>
      <c r="F60" s="37">
        <v>0</v>
      </c>
      <c r="G60" s="34">
        <v>490.31781000000001</v>
      </c>
      <c r="H60" s="34"/>
      <c r="I60" s="22">
        <f t="shared" si="0"/>
        <v>490.31781000000001</v>
      </c>
      <c r="J60" s="23">
        <v>0</v>
      </c>
      <c r="K60" s="23">
        <v>0</v>
      </c>
      <c r="L60" s="24">
        <f t="shared" si="1"/>
        <v>490.31781000000001</v>
      </c>
      <c r="M60" s="25"/>
      <c r="N60" s="12"/>
      <c r="O60" s="12"/>
    </row>
    <row r="61" spans="1:15" s="13" customFormat="1" ht="78.75" customHeight="1" x14ac:dyDescent="0.45">
      <c r="A61" s="38"/>
      <c r="B61" s="39">
        <v>18020000</v>
      </c>
      <c r="C61" s="36" t="s">
        <v>128</v>
      </c>
      <c r="D61" s="125">
        <f t="shared" ref="D61:E61" si="2">D62+D63</f>
        <v>4098.6000000000004</v>
      </c>
      <c r="E61" s="125">
        <f t="shared" si="2"/>
        <v>4098.6000000000004</v>
      </c>
      <c r="F61" s="125">
        <f>F62+F63</f>
        <v>470</v>
      </c>
      <c r="G61" s="33">
        <f>G62</f>
        <v>432.36926999999997</v>
      </c>
      <c r="H61" s="33"/>
      <c r="I61" s="22">
        <f t="shared" si="0"/>
        <v>-37.630730000000028</v>
      </c>
      <c r="J61" s="23">
        <f>G61/F61</f>
        <v>0.91993461702127655</v>
      </c>
      <c r="K61" s="23">
        <f>G61/D61</f>
        <v>0.10549194115063679</v>
      </c>
      <c r="L61" s="24">
        <f t="shared" si="1"/>
        <v>-3666.2307300000002</v>
      </c>
      <c r="M61" s="25"/>
      <c r="N61" s="12"/>
      <c r="O61" s="12"/>
    </row>
    <row r="62" spans="1:15" s="13" customFormat="1" ht="99" customHeight="1" x14ac:dyDescent="0.45">
      <c r="A62" s="38"/>
      <c r="B62" s="42">
        <v>18020100</v>
      </c>
      <c r="C62" s="36" t="s">
        <v>130</v>
      </c>
      <c r="D62" s="37">
        <v>4098.6000000000004</v>
      </c>
      <c r="E62" s="37">
        <v>4098.6000000000004</v>
      </c>
      <c r="F62" s="37">
        <v>470</v>
      </c>
      <c r="G62" s="34">
        <v>432.36926999999997</v>
      </c>
      <c r="H62" s="34"/>
      <c r="I62" s="22">
        <f t="shared" si="0"/>
        <v>-37.630730000000028</v>
      </c>
      <c r="J62" s="23">
        <f>G62/F62</f>
        <v>0.91993461702127655</v>
      </c>
      <c r="K62" s="23">
        <f>G62/D62</f>
        <v>0.10549194115063679</v>
      </c>
      <c r="L62" s="24">
        <f t="shared" si="1"/>
        <v>-3666.2307300000002</v>
      </c>
      <c r="M62" s="25"/>
      <c r="N62" s="12"/>
      <c r="O62" s="12"/>
    </row>
    <row r="63" spans="1:15" s="13" customFormat="1" ht="99" customHeight="1" x14ac:dyDescent="0.45">
      <c r="A63" s="38"/>
      <c r="B63" s="42">
        <v>18020200</v>
      </c>
      <c r="C63" s="36" t="s">
        <v>129</v>
      </c>
      <c r="D63" s="37">
        <v>0</v>
      </c>
      <c r="E63" s="37">
        <v>0</v>
      </c>
      <c r="F63" s="37">
        <v>0</v>
      </c>
      <c r="G63" s="34"/>
      <c r="H63" s="34"/>
      <c r="I63" s="22"/>
      <c r="J63" s="23"/>
      <c r="K63" s="23"/>
      <c r="L63" s="24"/>
      <c r="M63" s="25"/>
      <c r="N63" s="12"/>
      <c r="O63" s="12"/>
    </row>
    <row r="64" spans="1:15" s="13" customFormat="1" ht="61.5" x14ac:dyDescent="0.45">
      <c r="A64" s="38"/>
      <c r="B64" s="30">
        <v>18030000</v>
      </c>
      <c r="C64" s="31" t="s">
        <v>68</v>
      </c>
      <c r="D64" s="32">
        <v>540.20000000000005</v>
      </c>
      <c r="E64" s="32">
        <v>540.20000000000005</v>
      </c>
      <c r="F64" s="33">
        <f>F65+F66</f>
        <v>101.3</v>
      </c>
      <c r="G64" s="33">
        <f>G65+G66</f>
        <v>146.79809</v>
      </c>
      <c r="H64" s="34"/>
      <c r="I64" s="22">
        <f t="shared" si="0"/>
        <v>45.498090000000005</v>
      </c>
      <c r="J64" s="23">
        <f>G64/F64</f>
        <v>1.449142053307009</v>
      </c>
      <c r="K64" s="23">
        <f>G64/D64</f>
        <v>0.27174766753054425</v>
      </c>
      <c r="L64" s="24">
        <f t="shared" si="1"/>
        <v>-393.40191000000004</v>
      </c>
      <c r="M64" s="25"/>
      <c r="N64" s="12"/>
      <c r="O64" s="12"/>
    </row>
    <row r="65" spans="1:15" s="13" customFormat="1" ht="114" customHeight="1" x14ac:dyDescent="0.45">
      <c r="A65" s="38"/>
      <c r="B65" s="42">
        <v>18030100</v>
      </c>
      <c r="C65" s="36" t="s">
        <v>69</v>
      </c>
      <c r="D65" s="37">
        <v>515.4</v>
      </c>
      <c r="E65" s="37">
        <v>515.4</v>
      </c>
      <c r="F65" s="37">
        <v>93</v>
      </c>
      <c r="G65" s="34">
        <v>128.87223</v>
      </c>
      <c r="H65" s="34"/>
      <c r="I65" s="22">
        <f t="shared" si="0"/>
        <v>35.872230000000002</v>
      </c>
      <c r="J65" s="23">
        <f>G65/F65</f>
        <v>1.3857229032258065</v>
      </c>
      <c r="K65" s="23">
        <f>G65/D65</f>
        <v>0.25004313154831198</v>
      </c>
      <c r="L65" s="24">
        <f t="shared" si="1"/>
        <v>-386.52776999999998</v>
      </c>
      <c r="M65" s="25"/>
      <c r="N65" s="12"/>
      <c r="O65" s="12"/>
    </row>
    <row r="66" spans="1:15" s="13" customFormat="1" ht="114" customHeight="1" x14ac:dyDescent="0.45">
      <c r="A66" s="38"/>
      <c r="B66" s="42">
        <v>18030200</v>
      </c>
      <c r="C66" s="36" t="s">
        <v>70</v>
      </c>
      <c r="D66" s="37">
        <v>24.8</v>
      </c>
      <c r="E66" s="37">
        <v>24.8</v>
      </c>
      <c r="F66" s="37">
        <v>8.3000000000000007</v>
      </c>
      <c r="G66" s="34">
        <v>17.92586</v>
      </c>
      <c r="H66" s="34"/>
      <c r="I66" s="22">
        <f t="shared" si="0"/>
        <v>9.6258599999999994</v>
      </c>
      <c r="J66" s="23">
        <f>G66/F66</f>
        <v>2.1597421686746987</v>
      </c>
      <c r="K66" s="23">
        <f>G66/D66</f>
        <v>0.72281693548387094</v>
      </c>
      <c r="L66" s="24">
        <f t="shared" si="1"/>
        <v>-6.8741400000000006</v>
      </c>
      <c r="M66" s="25"/>
      <c r="N66" s="12"/>
      <c r="O66" s="12"/>
    </row>
    <row r="67" spans="1:15" s="13" customFormat="1" ht="174" customHeight="1" x14ac:dyDescent="0.45">
      <c r="A67" s="38"/>
      <c r="B67" s="30">
        <v>18040000</v>
      </c>
      <c r="C67" s="31" t="s">
        <v>71</v>
      </c>
      <c r="D67" s="32"/>
      <c r="E67" s="32"/>
      <c r="F67" s="33">
        <f>F68+F69+F70+F71+F72+F73+F74+F75+F76</f>
        <v>0</v>
      </c>
      <c r="G67" s="33">
        <f>G68+G69+G70+G71+G72+G73+G74+G75+G76</f>
        <v>91.380640000000014</v>
      </c>
      <c r="H67" s="34"/>
      <c r="I67" s="22">
        <f t="shared" si="0"/>
        <v>91.380640000000014</v>
      </c>
      <c r="J67" s="23">
        <v>0</v>
      </c>
      <c r="K67" s="23">
        <v>0</v>
      </c>
      <c r="L67" s="24">
        <f t="shared" si="1"/>
        <v>91.380640000000014</v>
      </c>
      <c r="M67" s="25"/>
      <c r="N67" s="12"/>
      <c r="O67" s="12"/>
    </row>
    <row r="68" spans="1:15" s="13" customFormat="1" ht="187.5" customHeight="1" x14ac:dyDescent="0.45">
      <c r="A68" s="38"/>
      <c r="B68" s="35">
        <v>18040100</v>
      </c>
      <c r="C68" s="36" t="s">
        <v>72</v>
      </c>
      <c r="D68" s="37"/>
      <c r="E68" s="37"/>
      <c r="F68" s="37">
        <v>0</v>
      </c>
      <c r="G68" s="34">
        <v>-0.27239000000000002</v>
      </c>
      <c r="H68" s="34"/>
      <c r="I68" s="22">
        <f t="shared" si="0"/>
        <v>-0.27239000000000002</v>
      </c>
      <c r="J68" s="23">
        <v>0</v>
      </c>
      <c r="K68" s="23">
        <v>0</v>
      </c>
      <c r="L68" s="24">
        <f t="shared" si="1"/>
        <v>-0.27239000000000002</v>
      </c>
      <c r="M68" s="25"/>
      <c r="N68" s="12"/>
      <c r="O68" s="12"/>
    </row>
    <row r="69" spans="1:15" s="13" customFormat="1" ht="195" customHeight="1" x14ac:dyDescent="0.45">
      <c r="A69" s="38"/>
      <c r="B69" s="35">
        <v>18040200</v>
      </c>
      <c r="C69" s="36" t="s">
        <v>73</v>
      </c>
      <c r="D69" s="37"/>
      <c r="E69" s="37"/>
      <c r="F69" s="37">
        <v>0</v>
      </c>
      <c r="G69" s="34">
        <v>56.918709999999997</v>
      </c>
      <c r="H69" s="34"/>
      <c r="I69" s="22">
        <f t="shared" si="0"/>
        <v>56.918709999999997</v>
      </c>
      <c r="J69" s="23">
        <v>0</v>
      </c>
      <c r="K69" s="23">
        <v>0</v>
      </c>
      <c r="L69" s="24">
        <f t="shared" si="1"/>
        <v>56.918709999999997</v>
      </c>
      <c r="M69" s="25"/>
      <c r="N69" s="12"/>
      <c r="O69" s="12"/>
    </row>
    <row r="70" spans="1:15" s="13" customFormat="1" ht="194.25" customHeight="1" x14ac:dyDescent="0.45">
      <c r="A70" s="38"/>
      <c r="B70" s="35">
        <v>18040500</v>
      </c>
      <c r="C70" s="36" t="s">
        <v>74</v>
      </c>
      <c r="D70" s="37"/>
      <c r="E70" s="37"/>
      <c r="F70" s="37">
        <v>0</v>
      </c>
      <c r="G70" s="34">
        <v>0.48699999999999999</v>
      </c>
      <c r="H70" s="34"/>
      <c r="I70" s="22">
        <f t="shared" si="0"/>
        <v>0.48699999999999999</v>
      </c>
      <c r="J70" s="23">
        <v>0</v>
      </c>
      <c r="K70" s="23">
        <v>0</v>
      </c>
      <c r="L70" s="24">
        <f t="shared" si="1"/>
        <v>0.48699999999999999</v>
      </c>
      <c r="M70" s="25"/>
      <c r="N70" s="12"/>
      <c r="O70" s="12"/>
    </row>
    <row r="71" spans="1:15" s="13" customFormat="1" ht="201.75" customHeight="1" x14ac:dyDescent="0.45">
      <c r="A71" s="38"/>
      <c r="B71" s="35">
        <v>18040600</v>
      </c>
      <c r="C71" s="36" t="s">
        <v>75</v>
      </c>
      <c r="D71" s="37"/>
      <c r="E71" s="37"/>
      <c r="F71" s="37">
        <v>0</v>
      </c>
      <c r="G71" s="34">
        <v>9.6054499999999994</v>
      </c>
      <c r="H71" s="34"/>
      <c r="I71" s="22">
        <f t="shared" si="0"/>
        <v>9.6054499999999994</v>
      </c>
      <c r="J71" s="23">
        <v>0</v>
      </c>
      <c r="K71" s="23">
        <v>0</v>
      </c>
      <c r="L71" s="24">
        <f t="shared" si="1"/>
        <v>9.6054499999999994</v>
      </c>
      <c r="M71" s="25"/>
      <c r="N71" s="12"/>
      <c r="O71" s="12"/>
    </row>
    <row r="72" spans="1:15" s="13" customFormat="1" ht="186.75" customHeight="1" x14ac:dyDescent="0.45">
      <c r="A72" s="38"/>
      <c r="B72" s="35">
        <v>18040700</v>
      </c>
      <c r="C72" s="36" t="s">
        <v>76</v>
      </c>
      <c r="D72" s="37"/>
      <c r="E72" s="37"/>
      <c r="F72" s="37">
        <v>0</v>
      </c>
      <c r="G72" s="34">
        <v>-2.1677399999999998</v>
      </c>
      <c r="H72" s="34"/>
      <c r="I72" s="22">
        <f t="shared" si="0"/>
        <v>-2.1677399999999998</v>
      </c>
      <c r="J72" s="23">
        <v>0</v>
      </c>
      <c r="K72" s="23">
        <v>0</v>
      </c>
      <c r="L72" s="24">
        <f t="shared" si="1"/>
        <v>-2.1677399999999998</v>
      </c>
      <c r="M72" s="25"/>
      <c r="N72" s="12"/>
      <c r="O72" s="12"/>
    </row>
    <row r="73" spans="1:15" s="13" customFormat="1" ht="240" customHeight="1" x14ac:dyDescent="0.45">
      <c r="A73" s="38"/>
      <c r="B73" s="42">
        <v>18040800</v>
      </c>
      <c r="C73" s="36" t="s">
        <v>77</v>
      </c>
      <c r="D73" s="37"/>
      <c r="E73" s="37"/>
      <c r="F73" s="37">
        <v>0</v>
      </c>
      <c r="G73" s="34">
        <v>24.15981</v>
      </c>
      <c r="H73" s="34"/>
      <c r="I73" s="22">
        <f t="shared" ref="I73:I120" si="3">G73-F73</f>
        <v>24.15981</v>
      </c>
      <c r="J73" s="23">
        <v>0</v>
      </c>
      <c r="K73" s="23">
        <v>0</v>
      </c>
      <c r="L73" s="24">
        <f t="shared" ref="L73:L121" si="4">G73-D73</f>
        <v>24.15981</v>
      </c>
      <c r="M73" s="25"/>
      <c r="N73" s="12"/>
      <c r="O73" s="12"/>
    </row>
    <row r="74" spans="1:15" s="13" customFormat="1" ht="189.75" customHeight="1" x14ac:dyDescent="0.45">
      <c r="A74" s="38"/>
      <c r="B74" s="42">
        <v>18040900</v>
      </c>
      <c r="C74" s="36" t="s">
        <v>78</v>
      </c>
      <c r="D74" s="37"/>
      <c r="E74" s="37"/>
      <c r="F74" s="37">
        <v>0</v>
      </c>
      <c r="G74" s="34">
        <v>6.0999999999999999E-2</v>
      </c>
      <c r="H74" s="34"/>
      <c r="I74" s="22">
        <f t="shared" si="3"/>
        <v>6.0999999999999999E-2</v>
      </c>
      <c r="J74" s="23">
        <v>0</v>
      </c>
      <c r="K74" s="23">
        <v>0</v>
      </c>
      <c r="L74" s="24">
        <f t="shared" si="4"/>
        <v>6.0999999999999999E-2</v>
      </c>
      <c r="M74" s="25"/>
      <c r="N74" s="12"/>
      <c r="O74" s="12"/>
    </row>
    <row r="75" spans="1:15" s="13" customFormat="1" ht="175.5" customHeight="1" x14ac:dyDescent="0.45">
      <c r="A75" s="38"/>
      <c r="B75" s="42">
        <v>18041400</v>
      </c>
      <c r="C75" s="36" t="s">
        <v>79</v>
      </c>
      <c r="D75" s="37"/>
      <c r="E75" s="37"/>
      <c r="F75" s="37">
        <v>0</v>
      </c>
      <c r="G75" s="34">
        <v>2.5888</v>
      </c>
      <c r="H75" s="34"/>
      <c r="I75" s="22">
        <f t="shared" si="3"/>
        <v>2.5888</v>
      </c>
      <c r="J75" s="23">
        <v>0</v>
      </c>
      <c r="K75" s="23">
        <v>0</v>
      </c>
      <c r="L75" s="24">
        <f t="shared" si="4"/>
        <v>2.5888</v>
      </c>
      <c r="M75" s="25"/>
      <c r="N75" s="12"/>
      <c r="O75" s="12"/>
    </row>
    <row r="76" spans="1:15" s="13" customFormat="1" ht="182.25" customHeight="1" x14ac:dyDescent="0.45">
      <c r="A76" s="38"/>
      <c r="B76" s="42">
        <v>18041500</v>
      </c>
      <c r="C76" s="36" t="s">
        <v>80</v>
      </c>
      <c r="D76" s="37"/>
      <c r="E76" s="37"/>
      <c r="F76" s="37">
        <v>0</v>
      </c>
      <c r="G76" s="34">
        <v>0</v>
      </c>
      <c r="H76" s="34"/>
      <c r="I76" s="22">
        <f t="shared" si="3"/>
        <v>0</v>
      </c>
      <c r="J76" s="23">
        <v>0</v>
      </c>
      <c r="K76" s="23">
        <v>0</v>
      </c>
      <c r="L76" s="24">
        <f t="shared" si="4"/>
        <v>0</v>
      </c>
      <c r="M76" s="25"/>
      <c r="N76" s="12"/>
      <c r="O76" s="12"/>
    </row>
    <row r="77" spans="1:15" s="13" customFormat="1" ht="68.25" customHeight="1" x14ac:dyDescent="0.45">
      <c r="A77" s="38"/>
      <c r="B77" s="39">
        <v>18050000</v>
      </c>
      <c r="C77" s="40" t="s">
        <v>81</v>
      </c>
      <c r="D77" s="37"/>
      <c r="E77" s="33">
        <f>E79+E80+E78+E81</f>
        <v>121544.9</v>
      </c>
      <c r="F77" s="33">
        <f>F79+F80+F78+F81</f>
        <v>35758</v>
      </c>
      <c r="G77" s="33">
        <f>G79+G80+G78+G81</f>
        <v>45078.919090000003</v>
      </c>
      <c r="H77" s="34"/>
      <c r="I77" s="22">
        <f t="shared" si="3"/>
        <v>9320.9190900000031</v>
      </c>
      <c r="J77" s="23">
        <v>0</v>
      </c>
      <c r="K77" s="23">
        <v>0</v>
      </c>
      <c r="L77" s="24">
        <f t="shared" si="4"/>
        <v>45078.919090000003</v>
      </c>
      <c r="M77" s="25"/>
      <c r="N77" s="12"/>
      <c r="O77" s="12"/>
    </row>
    <row r="78" spans="1:15" s="13" customFormat="1" ht="133.5" customHeight="1" x14ac:dyDescent="0.45">
      <c r="A78" s="38"/>
      <c r="B78" s="42">
        <v>18050200</v>
      </c>
      <c r="C78" s="36" t="s">
        <v>82</v>
      </c>
      <c r="D78" s="37"/>
      <c r="E78" s="37">
        <v>0</v>
      </c>
      <c r="F78" s="37">
        <v>0</v>
      </c>
      <c r="G78" s="34">
        <v>8.5665499999999994</v>
      </c>
      <c r="H78" s="34"/>
      <c r="I78" s="22">
        <f t="shared" si="3"/>
        <v>8.5665499999999994</v>
      </c>
      <c r="J78" s="23">
        <v>0</v>
      </c>
      <c r="K78" s="23">
        <v>0</v>
      </c>
      <c r="L78" s="24">
        <f t="shared" si="4"/>
        <v>8.5665499999999994</v>
      </c>
      <c r="M78" s="25"/>
      <c r="N78" s="12"/>
      <c r="O78" s="12"/>
    </row>
    <row r="79" spans="1:15" s="13" customFormat="1" ht="79.5" customHeight="1" x14ac:dyDescent="0.45">
      <c r="A79" s="38"/>
      <c r="B79" s="42">
        <v>18050300</v>
      </c>
      <c r="C79" s="36" t="s">
        <v>83</v>
      </c>
      <c r="D79" s="37"/>
      <c r="E79" s="37">
        <v>50570.9</v>
      </c>
      <c r="F79" s="37">
        <v>12165</v>
      </c>
      <c r="G79" s="34">
        <v>16525.885740000002</v>
      </c>
      <c r="H79" s="34"/>
      <c r="I79" s="22">
        <f t="shared" si="3"/>
        <v>4360.8857400000015</v>
      </c>
      <c r="J79" s="23">
        <v>0</v>
      </c>
      <c r="K79" s="23">
        <v>0</v>
      </c>
      <c r="L79" s="24">
        <f t="shared" si="4"/>
        <v>16525.885740000002</v>
      </c>
      <c r="M79" s="25"/>
      <c r="N79" s="12"/>
      <c r="O79" s="12"/>
    </row>
    <row r="80" spans="1:15" s="13" customFormat="1" ht="87" customHeight="1" x14ac:dyDescent="0.45">
      <c r="A80" s="38"/>
      <c r="B80" s="42">
        <v>18050400</v>
      </c>
      <c r="C80" s="36" t="s">
        <v>84</v>
      </c>
      <c r="D80" s="37"/>
      <c r="E80" s="37">
        <v>70974</v>
      </c>
      <c r="F80" s="37">
        <v>23593</v>
      </c>
      <c r="G80" s="34">
        <v>28541.3668</v>
      </c>
      <c r="H80" s="34"/>
      <c r="I80" s="22">
        <f t="shared" si="3"/>
        <v>4948.3667999999998</v>
      </c>
      <c r="J80" s="23">
        <v>0</v>
      </c>
      <c r="K80" s="23">
        <v>0</v>
      </c>
      <c r="L80" s="24">
        <f t="shared" si="4"/>
        <v>28541.3668</v>
      </c>
      <c r="M80" s="25"/>
      <c r="N80" s="12"/>
      <c r="O80" s="12"/>
    </row>
    <row r="81" spans="1:15" s="13" customFormat="1" ht="87" customHeight="1" x14ac:dyDescent="0.45">
      <c r="A81" s="38"/>
      <c r="B81" s="42">
        <v>18050501</v>
      </c>
      <c r="C81" s="36" t="s">
        <v>85</v>
      </c>
      <c r="D81" s="37"/>
      <c r="E81" s="37">
        <v>0</v>
      </c>
      <c r="F81" s="37">
        <v>0</v>
      </c>
      <c r="G81" s="34">
        <v>3.1</v>
      </c>
      <c r="H81" s="34"/>
      <c r="I81" s="22">
        <f t="shared" si="3"/>
        <v>3.1</v>
      </c>
      <c r="J81" s="23">
        <v>0</v>
      </c>
      <c r="K81" s="23">
        <v>0</v>
      </c>
      <c r="L81" s="24">
        <f t="shared" si="4"/>
        <v>3.1</v>
      </c>
      <c r="M81" s="25"/>
      <c r="N81" s="12"/>
      <c r="O81" s="12"/>
    </row>
    <row r="82" spans="1:15" s="13" customFormat="1" ht="63.75" customHeight="1" x14ac:dyDescent="0.45">
      <c r="A82" s="38"/>
      <c r="B82" s="39">
        <v>19000000</v>
      </c>
      <c r="C82" s="40" t="s">
        <v>86</v>
      </c>
      <c r="D82" s="32"/>
      <c r="E82" s="32">
        <v>0</v>
      </c>
      <c r="F82" s="33">
        <f>F83</f>
        <v>0</v>
      </c>
      <c r="G82" s="33">
        <f>G83</f>
        <v>93.751979999999989</v>
      </c>
      <c r="H82" s="34"/>
      <c r="I82" s="22">
        <f t="shared" si="3"/>
        <v>93.751979999999989</v>
      </c>
      <c r="J82" s="23">
        <v>0</v>
      </c>
      <c r="K82" s="23">
        <v>0</v>
      </c>
      <c r="L82" s="24">
        <f t="shared" si="4"/>
        <v>93.751979999999989</v>
      </c>
      <c r="M82" s="25"/>
      <c r="N82" s="12"/>
      <c r="O82" s="12"/>
    </row>
    <row r="83" spans="1:15" s="13" customFormat="1" ht="69.75" customHeight="1" x14ac:dyDescent="0.45">
      <c r="A83" s="38"/>
      <c r="B83" s="35">
        <v>19010000</v>
      </c>
      <c r="C83" s="31" t="s">
        <v>87</v>
      </c>
      <c r="D83" s="32"/>
      <c r="E83" s="32">
        <v>0</v>
      </c>
      <c r="F83" s="33">
        <f>F84+F85+F86</f>
        <v>0</v>
      </c>
      <c r="G83" s="33">
        <f>G84+G85+G86</f>
        <v>93.751979999999989</v>
      </c>
      <c r="H83" s="34"/>
      <c r="I83" s="22">
        <f t="shared" si="3"/>
        <v>93.751979999999989</v>
      </c>
      <c r="J83" s="23">
        <v>0</v>
      </c>
      <c r="K83" s="23">
        <v>0</v>
      </c>
      <c r="L83" s="24">
        <f t="shared" si="4"/>
        <v>93.751979999999989</v>
      </c>
      <c r="M83" s="25"/>
      <c r="N83" s="12"/>
      <c r="O83" s="12"/>
    </row>
    <row r="84" spans="1:15" s="13" customFormat="1" ht="114.75" customHeight="1" x14ac:dyDescent="0.45">
      <c r="A84" s="38"/>
      <c r="B84" s="35">
        <v>19010101</v>
      </c>
      <c r="C84" s="36" t="s">
        <v>88</v>
      </c>
      <c r="D84" s="37"/>
      <c r="E84" s="37"/>
      <c r="F84" s="37">
        <v>0</v>
      </c>
      <c r="G84" s="34">
        <f>92.37329-18.47467</f>
        <v>73.898619999999994</v>
      </c>
      <c r="H84" s="34"/>
      <c r="I84" s="22">
        <f t="shared" si="3"/>
        <v>73.898619999999994</v>
      </c>
      <c r="J84" s="23">
        <v>0</v>
      </c>
      <c r="K84" s="23">
        <v>0</v>
      </c>
      <c r="L84" s="24">
        <f t="shared" si="4"/>
        <v>73.898619999999994</v>
      </c>
      <c r="M84" s="25"/>
      <c r="N84" s="12"/>
      <c r="O84" s="12"/>
    </row>
    <row r="85" spans="1:15" s="13" customFormat="1" ht="129.75" customHeight="1" x14ac:dyDescent="0.45">
      <c r="A85" s="38"/>
      <c r="B85" s="35">
        <v>19010201</v>
      </c>
      <c r="C85" s="36" t="s">
        <v>89</v>
      </c>
      <c r="D85" s="37"/>
      <c r="E85" s="37"/>
      <c r="F85" s="37">
        <v>0</v>
      </c>
      <c r="G85" s="34">
        <f>0.069-0.0138</f>
        <v>5.5200000000000006E-2</v>
      </c>
      <c r="H85" s="34"/>
      <c r="I85" s="22">
        <f t="shared" si="3"/>
        <v>5.5200000000000006E-2</v>
      </c>
      <c r="J85" s="23">
        <v>0</v>
      </c>
      <c r="K85" s="23">
        <v>0</v>
      </c>
      <c r="L85" s="24">
        <f t="shared" si="4"/>
        <v>5.5200000000000006E-2</v>
      </c>
      <c r="M85" s="25"/>
      <c r="N85" s="12"/>
      <c r="O85" s="12"/>
    </row>
    <row r="86" spans="1:15" s="13" customFormat="1" ht="245.25" customHeight="1" x14ac:dyDescent="0.45">
      <c r="A86" s="38"/>
      <c r="B86" s="35">
        <v>19010301</v>
      </c>
      <c r="C86" s="36" t="s">
        <v>90</v>
      </c>
      <c r="D86" s="37"/>
      <c r="E86" s="37"/>
      <c r="F86" s="37">
        <v>0</v>
      </c>
      <c r="G86" s="34">
        <f>24.74769-4.94953</f>
        <v>19.798159999999999</v>
      </c>
      <c r="H86" s="34"/>
      <c r="I86" s="22">
        <f t="shared" si="3"/>
        <v>19.798159999999999</v>
      </c>
      <c r="J86" s="23">
        <v>0</v>
      </c>
      <c r="K86" s="23">
        <v>0</v>
      </c>
      <c r="L86" s="24">
        <f t="shared" si="4"/>
        <v>19.798159999999999</v>
      </c>
      <c r="M86" s="25"/>
      <c r="N86" s="12"/>
      <c r="O86" s="12"/>
    </row>
    <row r="87" spans="1:15" s="13" customFormat="1" ht="67.5" customHeight="1" x14ac:dyDescent="0.45">
      <c r="A87" s="44"/>
      <c r="B87" s="39">
        <v>20000000</v>
      </c>
      <c r="C87" s="40" t="s">
        <v>91</v>
      </c>
      <c r="D87" s="32">
        <v>18149.8</v>
      </c>
      <c r="E87" s="32">
        <v>18149.8</v>
      </c>
      <c r="F87" s="33">
        <f>F88+F95+F112</f>
        <v>3824.4999999999995</v>
      </c>
      <c r="G87" s="33">
        <f>G88+G95+G112</f>
        <v>7011.9868600000009</v>
      </c>
      <c r="H87" s="33"/>
      <c r="I87" s="22">
        <f t="shared" si="3"/>
        <v>3187.4868600000013</v>
      </c>
      <c r="J87" s="23">
        <f t="shared" ref="J87:J121" si="5">G87/F87</f>
        <v>1.8334388442933722</v>
      </c>
      <c r="K87" s="23">
        <f t="shared" ref="K87:K121" si="6">G87/D87</f>
        <v>0.38633962137323835</v>
      </c>
      <c r="L87" s="24">
        <f t="shared" si="4"/>
        <v>-11137.813139999998</v>
      </c>
      <c r="M87" s="25"/>
      <c r="N87" s="12"/>
      <c r="O87" s="12"/>
    </row>
    <row r="88" spans="1:15" s="13" customFormat="1" ht="57" customHeight="1" x14ac:dyDescent="0.45">
      <c r="A88" s="38"/>
      <c r="B88" s="39">
        <v>21000000</v>
      </c>
      <c r="C88" s="40" t="s">
        <v>92</v>
      </c>
      <c r="D88" s="37">
        <v>1906.3</v>
      </c>
      <c r="E88" s="37">
        <v>1906.3</v>
      </c>
      <c r="F88" s="33">
        <f>F89+F92</f>
        <v>369.6</v>
      </c>
      <c r="G88" s="33">
        <f>G89+G92</f>
        <v>282.54451</v>
      </c>
      <c r="H88" s="34"/>
      <c r="I88" s="22">
        <f t="shared" si="3"/>
        <v>-87.05549000000002</v>
      </c>
      <c r="J88" s="23">
        <f t="shared" si="5"/>
        <v>0.76446025432900433</v>
      </c>
      <c r="K88" s="23">
        <f t="shared" si="6"/>
        <v>0.14821618318208046</v>
      </c>
      <c r="L88" s="24">
        <f t="shared" si="4"/>
        <v>-1623.75549</v>
      </c>
      <c r="M88" s="25"/>
      <c r="N88" s="12"/>
      <c r="O88" s="12"/>
    </row>
    <row r="89" spans="1:15" s="13" customFormat="1" ht="252.75" customHeight="1" x14ac:dyDescent="0.45">
      <c r="A89" s="38"/>
      <c r="B89" s="42">
        <v>21010000</v>
      </c>
      <c r="C89" s="36" t="s">
        <v>93</v>
      </c>
      <c r="D89" s="37">
        <v>1277.3</v>
      </c>
      <c r="E89" s="37">
        <v>1277.3</v>
      </c>
      <c r="F89" s="34">
        <f>F91+F90</f>
        <v>241.6</v>
      </c>
      <c r="G89" s="34">
        <f>G91+G90</f>
        <v>178.327</v>
      </c>
      <c r="H89" s="34"/>
      <c r="I89" s="22">
        <f t="shared" si="3"/>
        <v>-63.272999999999996</v>
      </c>
      <c r="J89" s="23">
        <f t="shared" si="5"/>
        <v>0.73810844370860929</v>
      </c>
      <c r="K89" s="23">
        <f t="shared" si="6"/>
        <v>0.13961246379080874</v>
      </c>
      <c r="L89" s="24">
        <f t="shared" si="4"/>
        <v>-1098.973</v>
      </c>
      <c r="M89" s="25"/>
      <c r="N89" s="12"/>
      <c r="O89" s="12"/>
    </row>
    <row r="90" spans="1:15" s="13" customFormat="1" ht="213" customHeight="1" x14ac:dyDescent="0.45">
      <c r="A90" s="38"/>
      <c r="B90" s="42">
        <v>21010300</v>
      </c>
      <c r="C90" s="36" t="s">
        <v>94</v>
      </c>
      <c r="D90" s="37">
        <v>1277.3</v>
      </c>
      <c r="E90" s="37">
        <v>1277.3</v>
      </c>
      <c r="F90" s="37">
        <v>241.6</v>
      </c>
      <c r="G90" s="34">
        <v>134.15799999999999</v>
      </c>
      <c r="H90" s="34"/>
      <c r="I90" s="22">
        <f t="shared" si="3"/>
        <v>-107.44200000000001</v>
      </c>
      <c r="J90" s="23">
        <f t="shared" si="5"/>
        <v>0.55528973509933766</v>
      </c>
      <c r="K90" s="23">
        <f t="shared" si="6"/>
        <v>0.10503249040945745</v>
      </c>
      <c r="L90" s="24">
        <f t="shared" si="4"/>
        <v>-1143.1420000000001</v>
      </c>
      <c r="M90" s="25"/>
      <c r="N90" s="12"/>
      <c r="O90" s="12"/>
    </row>
    <row r="91" spans="1:15" s="13" customFormat="1" ht="199.5" customHeight="1" x14ac:dyDescent="0.45">
      <c r="A91" s="38"/>
      <c r="B91" s="35">
        <v>21010302</v>
      </c>
      <c r="C91" s="36" t="s">
        <v>95</v>
      </c>
      <c r="D91" s="37"/>
      <c r="E91" s="37"/>
      <c r="F91" s="37">
        <v>0</v>
      </c>
      <c r="G91" s="34">
        <v>44.168999999999997</v>
      </c>
      <c r="H91" s="34"/>
      <c r="I91" s="22">
        <f t="shared" si="3"/>
        <v>44.168999999999997</v>
      </c>
      <c r="J91" s="23" t="e">
        <f t="shared" si="5"/>
        <v>#DIV/0!</v>
      </c>
      <c r="K91" s="23" t="e">
        <f t="shared" si="6"/>
        <v>#DIV/0!</v>
      </c>
      <c r="L91" s="24">
        <f t="shared" si="4"/>
        <v>44.168999999999997</v>
      </c>
      <c r="M91" s="25"/>
      <c r="N91" s="12"/>
      <c r="O91" s="12"/>
    </row>
    <row r="92" spans="1:15" s="13" customFormat="1" ht="84" customHeight="1" x14ac:dyDescent="0.45">
      <c r="A92" s="38"/>
      <c r="B92" s="30">
        <v>21080000</v>
      </c>
      <c r="C92" s="31" t="s">
        <v>96</v>
      </c>
      <c r="D92" s="33">
        <f>D94+D93</f>
        <v>629</v>
      </c>
      <c r="E92" s="33">
        <f>E94+E93</f>
        <v>629</v>
      </c>
      <c r="F92" s="33">
        <f>F94+F93</f>
        <v>128</v>
      </c>
      <c r="G92" s="33">
        <f>G94+G93</f>
        <v>104.21750999999999</v>
      </c>
      <c r="H92" s="34"/>
      <c r="I92" s="22">
        <f t="shared" si="3"/>
        <v>-23.78249000000001</v>
      </c>
      <c r="J92" s="23">
        <f t="shared" si="5"/>
        <v>0.81419929687499992</v>
      </c>
      <c r="K92" s="23">
        <f t="shared" si="6"/>
        <v>0.16568761526232112</v>
      </c>
      <c r="L92" s="24">
        <f t="shared" si="4"/>
        <v>-524.78249000000005</v>
      </c>
      <c r="M92" s="25"/>
      <c r="N92" s="12"/>
      <c r="O92" s="12"/>
    </row>
    <row r="93" spans="1:15" s="13" customFormat="1" ht="84" customHeight="1" x14ac:dyDescent="0.45">
      <c r="A93" s="38"/>
      <c r="B93" s="42">
        <v>21080900</v>
      </c>
      <c r="C93" s="36" t="s">
        <v>97</v>
      </c>
      <c r="D93" s="37">
        <v>6.2</v>
      </c>
      <c r="E93" s="37">
        <v>6.2</v>
      </c>
      <c r="F93" s="34">
        <v>1</v>
      </c>
      <c r="G93" s="34">
        <v>0.48699999999999999</v>
      </c>
      <c r="H93" s="34"/>
      <c r="I93" s="22">
        <f t="shared" si="3"/>
        <v>-0.51300000000000001</v>
      </c>
      <c r="J93" s="23">
        <f t="shared" si="5"/>
        <v>0.48699999999999999</v>
      </c>
      <c r="K93" s="23">
        <f t="shared" si="6"/>
        <v>7.8548387096774183E-2</v>
      </c>
      <c r="L93" s="24">
        <f t="shared" si="4"/>
        <v>-5.7130000000000001</v>
      </c>
      <c r="M93" s="25"/>
      <c r="N93" s="12"/>
      <c r="O93" s="12"/>
    </row>
    <row r="94" spans="1:15" s="13" customFormat="1" ht="94.5" customHeight="1" x14ac:dyDescent="0.45">
      <c r="A94" s="38"/>
      <c r="B94" s="42">
        <v>21081100</v>
      </c>
      <c r="C94" s="36" t="s">
        <v>98</v>
      </c>
      <c r="D94" s="37">
        <v>622.79999999999995</v>
      </c>
      <c r="E94" s="37">
        <v>622.79999999999995</v>
      </c>
      <c r="F94" s="37">
        <v>127</v>
      </c>
      <c r="G94" s="34">
        <v>103.73051</v>
      </c>
      <c r="H94" s="34"/>
      <c r="I94" s="22">
        <f t="shared" si="3"/>
        <v>-23.269490000000005</v>
      </c>
      <c r="J94" s="23">
        <f t="shared" si="5"/>
        <v>0.81677566929133849</v>
      </c>
      <c r="K94" s="23">
        <f t="shared" si="6"/>
        <v>0.16655508991650611</v>
      </c>
      <c r="L94" s="24">
        <f t="shared" si="4"/>
        <v>-519.06948999999997</v>
      </c>
      <c r="M94" s="25"/>
      <c r="N94" s="12"/>
      <c r="O94" s="12"/>
    </row>
    <row r="95" spans="1:15" s="13" customFormat="1" ht="141" customHeight="1" x14ac:dyDescent="0.45">
      <c r="A95" s="38"/>
      <c r="B95" s="39">
        <v>22000000</v>
      </c>
      <c r="C95" s="40" t="s">
        <v>99</v>
      </c>
      <c r="D95" s="32">
        <v>16081.2</v>
      </c>
      <c r="E95" s="32">
        <v>16081.2</v>
      </c>
      <c r="F95" s="33">
        <f>F96+F105+F107</f>
        <v>3415.2999999999997</v>
      </c>
      <c r="G95" s="33">
        <f>G96+G105+G107</f>
        <v>6679.0684100000008</v>
      </c>
      <c r="H95" s="34"/>
      <c r="I95" s="22">
        <f t="shared" si="3"/>
        <v>3263.768410000001</v>
      </c>
      <c r="J95" s="23">
        <f t="shared" si="5"/>
        <v>1.9556315433490472</v>
      </c>
      <c r="K95" s="23">
        <f t="shared" si="6"/>
        <v>0.41533395579931848</v>
      </c>
      <c r="L95" s="24">
        <f t="shared" si="4"/>
        <v>-9402.1315900000009</v>
      </c>
      <c r="M95" s="25"/>
      <c r="N95" s="12"/>
      <c r="O95" s="12"/>
    </row>
    <row r="96" spans="1:15" s="13" customFormat="1" ht="101.25" customHeight="1" x14ac:dyDescent="0.45">
      <c r="A96" s="38"/>
      <c r="B96" s="35">
        <v>22010000</v>
      </c>
      <c r="C96" s="45" t="s">
        <v>100</v>
      </c>
      <c r="D96" s="46">
        <f>D99+D100+D101+D102+D103+D104+D98+D97</f>
        <v>10982.6</v>
      </c>
      <c r="E96" s="46">
        <f>E99+E100+E101+E102+E103+E104+E98+E97</f>
        <v>10982.6</v>
      </c>
      <c r="F96" s="46">
        <f>F99+F100+F101+F102+F103+F104+F98+F97</f>
        <v>2487.1999999999998</v>
      </c>
      <c r="G96" s="46">
        <f>G99+G100+G101+G102+G103+G104+G98+G97</f>
        <v>4474.6559500000003</v>
      </c>
      <c r="H96" s="34"/>
      <c r="I96" s="22">
        <f t="shared" si="3"/>
        <v>1987.4559500000005</v>
      </c>
      <c r="J96" s="23">
        <f t="shared" si="5"/>
        <v>1.7990736370215505</v>
      </c>
      <c r="K96" s="23">
        <f t="shared" si="6"/>
        <v>0.40743138692112979</v>
      </c>
      <c r="L96" s="24">
        <f t="shared" si="4"/>
        <v>-6507.9440500000001</v>
      </c>
      <c r="M96" s="25"/>
      <c r="N96" s="12"/>
      <c r="O96" s="12"/>
    </row>
    <row r="97" spans="1:15" s="13" customFormat="1" ht="101.25" customHeight="1" x14ac:dyDescent="0.45">
      <c r="A97" s="38"/>
      <c r="B97" s="42">
        <v>22010200</v>
      </c>
      <c r="C97" s="36" t="s">
        <v>101</v>
      </c>
      <c r="D97" s="46">
        <v>5</v>
      </c>
      <c r="E97" s="46">
        <v>5</v>
      </c>
      <c r="F97" s="46">
        <v>0</v>
      </c>
      <c r="G97" s="46">
        <v>0</v>
      </c>
      <c r="H97" s="34"/>
      <c r="I97" s="22">
        <f t="shared" si="3"/>
        <v>0</v>
      </c>
      <c r="J97" s="23">
        <v>0</v>
      </c>
      <c r="K97" s="23">
        <f t="shared" si="6"/>
        <v>0</v>
      </c>
      <c r="L97" s="24">
        <f t="shared" si="4"/>
        <v>-5</v>
      </c>
      <c r="M97" s="25"/>
      <c r="N97" s="12"/>
      <c r="O97" s="12"/>
    </row>
    <row r="98" spans="1:15" s="13" customFormat="1" ht="111" customHeight="1" x14ac:dyDescent="0.45">
      <c r="A98" s="38"/>
      <c r="B98" s="42">
        <v>22010500</v>
      </c>
      <c r="C98" s="36" t="s">
        <v>102</v>
      </c>
      <c r="D98" s="37">
        <v>2</v>
      </c>
      <c r="E98" s="37">
        <v>2</v>
      </c>
      <c r="F98" s="37">
        <v>0.5</v>
      </c>
      <c r="G98" s="34">
        <v>0</v>
      </c>
      <c r="H98" s="34"/>
      <c r="I98" s="22">
        <f t="shared" si="3"/>
        <v>-0.5</v>
      </c>
      <c r="J98" s="23">
        <f t="shared" si="5"/>
        <v>0</v>
      </c>
      <c r="K98" s="23">
        <f t="shared" si="6"/>
        <v>0</v>
      </c>
      <c r="L98" s="24">
        <f t="shared" si="4"/>
        <v>-2</v>
      </c>
      <c r="M98" s="25"/>
      <c r="N98" s="12"/>
      <c r="O98" s="12"/>
    </row>
    <row r="99" spans="1:15" s="13" customFormat="1" ht="148.5" customHeight="1" x14ac:dyDescent="0.45">
      <c r="A99" s="38"/>
      <c r="B99" s="42">
        <v>22010700</v>
      </c>
      <c r="C99" s="36" t="s">
        <v>103</v>
      </c>
      <c r="D99" s="37">
        <v>3.5</v>
      </c>
      <c r="E99" s="37">
        <v>3.5</v>
      </c>
      <c r="F99" s="37">
        <v>1.2</v>
      </c>
      <c r="G99" s="34">
        <v>1.56</v>
      </c>
      <c r="H99" s="34"/>
      <c r="I99" s="22">
        <f t="shared" si="3"/>
        <v>0.3600000000000001</v>
      </c>
      <c r="J99" s="23">
        <f t="shared" si="5"/>
        <v>1.3</v>
      </c>
      <c r="K99" s="23">
        <f t="shared" si="6"/>
        <v>0.44571428571428573</v>
      </c>
      <c r="L99" s="24">
        <f t="shared" si="4"/>
        <v>-1.94</v>
      </c>
      <c r="M99" s="25"/>
      <c r="N99" s="12"/>
      <c r="O99" s="12"/>
    </row>
    <row r="100" spans="1:15" s="13" customFormat="1" ht="182.25" customHeight="1" x14ac:dyDescent="0.45">
      <c r="A100" s="38"/>
      <c r="B100" s="42">
        <v>22010900</v>
      </c>
      <c r="C100" s="36" t="s">
        <v>104</v>
      </c>
      <c r="D100" s="37">
        <v>120</v>
      </c>
      <c r="E100" s="37">
        <v>120</v>
      </c>
      <c r="F100" s="37">
        <v>32</v>
      </c>
      <c r="G100" s="34">
        <v>14.329000000000001</v>
      </c>
      <c r="H100" s="34"/>
      <c r="I100" s="22">
        <f t="shared" si="3"/>
        <v>-17.670999999999999</v>
      </c>
      <c r="J100" s="23">
        <f t="shared" si="5"/>
        <v>0.44778125000000002</v>
      </c>
      <c r="K100" s="23">
        <f t="shared" si="6"/>
        <v>0.11940833333333334</v>
      </c>
      <c r="L100" s="24">
        <f t="shared" si="4"/>
        <v>-105.67099999999999</v>
      </c>
      <c r="M100" s="25"/>
      <c r="N100" s="12"/>
      <c r="O100" s="12"/>
    </row>
    <row r="101" spans="1:15" s="13" customFormat="1" ht="153" customHeight="1" x14ac:dyDescent="0.45">
      <c r="A101" s="38"/>
      <c r="B101" s="42">
        <v>22011000</v>
      </c>
      <c r="C101" s="36" t="s">
        <v>105</v>
      </c>
      <c r="D101" s="37">
        <v>2000</v>
      </c>
      <c r="E101" s="37">
        <v>2000</v>
      </c>
      <c r="F101" s="37">
        <v>500</v>
      </c>
      <c r="G101" s="34">
        <v>501.23500000000001</v>
      </c>
      <c r="H101" s="34"/>
      <c r="I101" s="22">
        <f t="shared" si="3"/>
        <v>1.2350000000000136</v>
      </c>
      <c r="J101" s="23">
        <f t="shared" si="5"/>
        <v>1.00247</v>
      </c>
      <c r="K101" s="23">
        <f t="shared" si="6"/>
        <v>0.25061749999999999</v>
      </c>
      <c r="L101" s="24">
        <f t="shared" si="4"/>
        <v>-1498.7649999999999</v>
      </c>
      <c r="M101" s="25"/>
      <c r="N101" s="12"/>
      <c r="O101" s="12"/>
    </row>
    <row r="102" spans="1:15" s="13" customFormat="1" ht="144.75" customHeight="1" x14ac:dyDescent="0.45">
      <c r="A102" s="38"/>
      <c r="B102" s="42">
        <v>22011100</v>
      </c>
      <c r="C102" s="36" t="s">
        <v>106</v>
      </c>
      <c r="D102" s="37">
        <v>7878.1</v>
      </c>
      <c r="E102" s="37">
        <v>7878.1</v>
      </c>
      <c r="F102" s="37">
        <v>1790</v>
      </c>
      <c r="G102" s="34">
        <v>1856.0245500000001</v>
      </c>
      <c r="H102" s="34"/>
      <c r="I102" s="22">
        <f t="shared" si="3"/>
        <v>66.02455000000009</v>
      </c>
      <c r="J102" s="23">
        <f t="shared" si="5"/>
        <v>1.0368852234636872</v>
      </c>
      <c r="K102" s="23">
        <f t="shared" si="6"/>
        <v>0.23559291580457217</v>
      </c>
      <c r="L102" s="24">
        <f t="shared" si="4"/>
        <v>-6022.0754500000003</v>
      </c>
      <c r="M102" s="25"/>
      <c r="N102" s="12"/>
      <c r="O102" s="12"/>
    </row>
    <row r="103" spans="1:15" s="13" customFormat="1" ht="126.75" customHeight="1" x14ac:dyDescent="0.45">
      <c r="A103" s="38"/>
      <c r="B103" s="42">
        <v>22011800</v>
      </c>
      <c r="C103" s="36" t="s">
        <v>107</v>
      </c>
      <c r="D103" s="37">
        <v>974</v>
      </c>
      <c r="E103" s="37">
        <v>974</v>
      </c>
      <c r="F103" s="37">
        <v>163.5</v>
      </c>
      <c r="G103" s="34">
        <v>155.42506</v>
      </c>
      <c r="H103" s="34"/>
      <c r="I103" s="22">
        <f t="shared" si="3"/>
        <v>-8.074939999999998</v>
      </c>
      <c r="J103" s="23">
        <f t="shared" si="5"/>
        <v>0.95061198776758415</v>
      </c>
      <c r="K103" s="23">
        <f t="shared" si="6"/>
        <v>0.15957398357289529</v>
      </c>
      <c r="L103" s="24">
        <f t="shared" si="4"/>
        <v>-818.57493999999997</v>
      </c>
      <c r="M103" s="25"/>
      <c r="N103" s="12"/>
      <c r="O103" s="12"/>
    </row>
    <row r="104" spans="1:15" s="13" customFormat="1" ht="71.25" customHeight="1" x14ac:dyDescent="0.45">
      <c r="A104" s="38"/>
      <c r="B104" s="42">
        <v>22012500</v>
      </c>
      <c r="C104" s="36" t="s">
        <v>108</v>
      </c>
      <c r="D104" s="37"/>
      <c r="E104" s="37">
        <v>0</v>
      </c>
      <c r="F104" s="37">
        <v>0</v>
      </c>
      <c r="G104" s="34">
        <v>1946.0823399999999</v>
      </c>
      <c r="H104" s="34"/>
      <c r="I104" s="22">
        <f t="shared" si="3"/>
        <v>1946.0823399999999</v>
      </c>
      <c r="J104" s="23">
        <v>0</v>
      </c>
      <c r="K104" s="23">
        <v>0</v>
      </c>
      <c r="L104" s="24">
        <f t="shared" si="4"/>
        <v>1946.0823399999999</v>
      </c>
      <c r="M104" s="25"/>
      <c r="N104" s="12"/>
      <c r="O104" s="12"/>
    </row>
    <row r="105" spans="1:15" s="13" customFormat="1" ht="111" customHeight="1" x14ac:dyDescent="0.45">
      <c r="A105" s="38"/>
      <c r="B105" s="30">
        <v>22080000</v>
      </c>
      <c r="C105" s="31" t="s">
        <v>109</v>
      </c>
      <c r="D105" s="32">
        <v>4496.8</v>
      </c>
      <c r="E105" s="32">
        <v>4496.8</v>
      </c>
      <c r="F105" s="41">
        <f>F106</f>
        <v>850</v>
      </c>
      <c r="G105" s="41">
        <f>G106</f>
        <v>1323.86131</v>
      </c>
      <c r="H105" s="34"/>
      <c r="I105" s="22">
        <f t="shared" si="3"/>
        <v>473.86131</v>
      </c>
      <c r="J105" s="23">
        <f t="shared" si="5"/>
        <v>1.557483894117647</v>
      </c>
      <c r="K105" s="23">
        <f t="shared" si="6"/>
        <v>0.29440075386941822</v>
      </c>
      <c r="L105" s="24">
        <f t="shared" si="4"/>
        <v>-3172.93869</v>
      </c>
      <c r="M105" s="25"/>
      <c r="N105" s="12"/>
      <c r="O105" s="12"/>
    </row>
    <row r="106" spans="1:15" s="13" customFormat="1" ht="256.5" customHeight="1" x14ac:dyDescent="0.45">
      <c r="A106" s="38"/>
      <c r="B106" s="35">
        <v>22080402</v>
      </c>
      <c r="C106" s="36" t="s">
        <v>110</v>
      </c>
      <c r="D106" s="37">
        <v>4496.8</v>
      </c>
      <c r="E106" s="37">
        <v>4496.8</v>
      </c>
      <c r="F106" s="37">
        <v>850</v>
      </c>
      <c r="G106" s="34">
        <f>1183.55221+140.3091</f>
        <v>1323.86131</v>
      </c>
      <c r="H106" s="34"/>
      <c r="I106" s="22">
        <f t="shared" si="3"/>
        <v>473.86131</v>
      </c>
      <c r="J106" s="23">
        <f t="shared" si="5"/>
        <v>1.557483894117647</v>
      </c>
      <c r="K106" s="23">
        <f t="shared" si="6"/>
        <v>0.29440075386941822</v>
      </c>
      <c r="L106" s="24">
        <f t="shared" si="4"/>
        <v>-3172.93869</v>
      </c>
      <c r="M106" s="25"/>
      <c r="N106" s="12"/>
      <c r="O106" s="12"/>
    </row>
    <row r="107" spans="1:15" s="13" customFormat="1" ht="59.25" customHeight="1" x14ac:dyDescent="0.45">
      <c r="A107" s="38"/>
      <c r="B107" s="30">
        <v>22090000</v>
      </c>
      <c r="C107" s="31" t="s">
        <v>111</v>
      </c>
      <c r="D107" s="43">
        <v>601.79999999999995</v>
      </c>
      <c r="E107" s="43">
        <v>601.79999999999995</v>
      </c>
      <c r="F107" s="41">
        <f>F108+F109+F110+F111</f>
        <v>78.099999999999994</v>
      </c>
      <c r="G107" s="41">
        <f>G108+G109+G110+G111</f>
        <v>880.55115000000001</v>
      </c>
      <c r="H107" s="34"/>
      <c r="I107" s="22">
        <f t="shared" si="3"/>
        <v>802.45114999999998</v>
      </c>
      <c r="J107" s="23">
        <f t="shared" si="5"/>
        <v>11.274662612035852</v>
      </c>
      <c r="K107" s="23">
        <f t="shared" si="6"/>
        <v>1.4631956630109673</v>
      </c>
      <c r="L107" s="24">
        <f t="shared" si="4"/>
        <v>278.75115000000005</v>
      </c>
      <c r="M107" s="25"/>
      <c r="N107" s="12"/>
      <c r="O107" s="12"/>
    </row>
    <row r="108" spans="1:15" s="13" customFormat="1" ht="124.5" customHeight="1" x14ac:dyDescent="0.45">
      <c r="A108" s="38"/>
      <c r="B108" s="35">
        <v>22090100</v>
      </c>
      <c r="C108" s="36" t="s">
        <v>112</v>
      </c>
      <c r="D108" s="37">
        <v>549</v>
      </c>
      <c r="E108" s="37">
        <v>549</v>
      </c>
      <c r="F108" s="37">
        <v>67.5</v>
      </c>
      <c r="G108" s="34">
        <v>159.90472</v>
      </c>
      <c r="H108" s="34"/>
      <c r="I108" s="22">
        <f t="shared" si="3"/>
        <v>92.404719999999998</v>
      </c>
      <c r="J108" s="23">
        <f t="shared" si="5"/>
        <v>2.3689588148148149</v>
      </c>
      <c r="K108" s="23">
        <f t="shared" si="6"/>
        <v>0.29126542805100181</v>
      </c>
      <c r="L108" s="24">
        <f t="shared" si="4"/>
        <v>-389.09528</v>
      </c>
      <c r="M108" s="25"/>
      <c r="N108" s="12"/>
      <c r="O108" s="12"/>
    </row>
    <row r="109" spans="1:15" s="13" customFormat="1" ht="93.75" customHeight="1" x14ac:dyDescent="0.45">
      <c r="A109" s="38"/>
      <c r="B109" s="35">
        <v>22090200</v>
      </c>
      <c r="C109" s="36" t="s">
        <v>113</v>
      </c>
      <c r="D109" s="37">
        <v>0</v>
      </c>
      <c r="E109" s="37">
        <v>0</v>
      </c>
      <c r="F109" s="37">
        <v>0</v>
      </c>
      <c r="G109" s="34">
        <v>172.79157000000001</v>
      </c>
      <c r="H109" s="34"/>
      <c r="I109" s="22">
        <f t="shared" si="3"/>
        <v>172.79157000000001</v>
      </c>
      <c r="J109" s="23" t="e">
        <f t="shared" si="5"/>
        <v>#DIV/0!</v>
      </c>
      <c r="K109" s="23" t="e">
        <f t="shared" si="6"/>
        <v>#DIV/0!</v>
      </c>
      <c r="L109" s="24">
        <f t="shared" si="4"/>
        <v>172.79157000000001</v>
      </c>
      <c r="M109" s="25"/>
      <c r="N109" s="12"/>
      <c r="O109" s="12"/>
    </row>
    <row r="110" spans="1:15" s="13" customFormat="1" ht="272.25" customHeight="1" x14ac:dyDescent="0.45">
      <c r="A110" s="38"/>
      <c r="B110" s="35">
        <v>22090300</v>
      </c>
      <c r="C110" s="36" t="s">
        <v>114</v>
      </c>
      <c r="D110" s="37">
        <v>0</v>
      </c>
      <c r="E110" s="37">
        <v>0</v>
      </c>
      <c r="F110" s="37">
        <v>0</v>
      </c>
      <c r="G110" s="34">
        <v>16.349270000000001</v>
      </c>
      <c r="H110" s="34"/>
      <c r="I110" s="22">
        <f t="shared" si="3"/>
        <v>16.349270000000001</v>
      </c>
      <c r="J110" s="23" t="e">
        <f t="shared" si="5"/>
        <v>#DIV/0!</v>
      </c>
      <c r="K110" s="23" t="e">
        <f t="shared" si="6"/>
        <v>#DIV/0!</v>
      </c>
      <c r="L110" s="24">
        <f t="shared" si="4"/>
        <v>16.349270000000001</v>
      </c>
      <c r="M110" s="25"/>
      <c r="N110" s="12"/>
      <c r="O110" s="12"/>
    </row>
    <row r="111" spans="1:15" s="13" customFormat="1" ht="210.75" customHeight="1" x14ac:dyDescent="0.45">
      <c r="A111" s="38"/>
      <c r="B111" s="35">
        <v>22090400</v>
      </c>
      <c r="C111" s="36" t="s">
        <v>115</v>
      </c>
      <c r="D111" s="37">
        <v>52.8</v>
      </c>
      <c r="E111" s="37">
        <v>52.8</v>
      </c>
      <c r="F111" s="37">
        <v>10.6</v>
      </c>
      <c r="G111" s="34">
        <v>531.50558999999998</v>
      </c>
      <c r="H111" s="34"/>
      <c r="I111" s="22">
        <f t="shared" si="3"/>
        <v>520.90558999999996</v>
      </c>
      <c r="J111" s="23">
        <f t="shared" si="5"/>
        <v>50.142036792452828</v>
      </c>
      <c r="K111" s="23">
        <f t="shared" si="6"/>
        <v>10.06639375</v>
      </c>
      <c r="L111" s="24">
        <f t="shared" si="4"/>
        <v>478.70558999999997</v>
      </c>
      <c r="M111" s="25"/>
      <c r="N111" s="12"/>
      <c r="O111" s="12"/>
    </row>
    <row r="112" spans="1:15" s="13" customFormat="1" ht="62.25" customHeight="1" x14ac:dyDescent="0.45">
      <c r="A112" s="38"/>
      <c r="B112" s="39">
        <v>24000000</v>
      </c>
      <c r="C112" s="31" t="s">
        <v>116</v>
      </c>
      <c r="D112" s="43">
        <v>162.30000000000001</v>
      </c>
      <c r="E112" s="43">
        <v>162.30000000000001</v>
      </c>
      <c r="F112" s="41">
        <f>F114+F113</f>
        <v>39.6</v>
      </c>
      <c r="G112" s="41">
        <f>G114+G113</f>
        <v>50.373939999999997</v>
      </c>
      <c r="H112" s="46"/>
      <c r="I112" s="22">
        <f t="shared" si="3"/>
        <v>10.773939999999996</v>
      </c>
      <c r="J112" s="23">
        <f t="shared" si="5"/>
        <v>1.2720691919191918</v>
      </c>
      <c r="K112" s="23">
        <f t="shared" si="6"/>
        <v>0.31037547751078248</v>
      </c>
      <c r="L112" s="24">
        <f t="shared" si="4"/>
        <v>-111.92606000000001</v>
      </c>
      <c r="M112" s="25"/>
      <c r="N112" s="12"/>
      <c r="O112" s="12"/>
    </row>
    <row r="113" spans="1:15" s="13" customFormat="1" ht="216" customHeight="1" x14ac:dyDescent="0.45">
      <c r="A113" s="38"/>
      <c r="B113" s="42">
        <v>24030000</v>
      </c>
      <c r="C113" s="36" t="s">
        <v>117</v>
      </c>
      <c r="D113" s="37">
        <v>20</v>
      </c>
      <c r="E113" s="37">
        <v>20</v>
      </c>
      <c r="F113" s="37">
        <v>0</v>
      </c>
      <c r="G113" s="34">
        <v>0</v>
      </c>
      <c r="H113" s="34"/>
      <c r="I113" s="22">
        <f t="shared" si="3"/>
        <v>0</v>
      </c>
      <c r="J113" s="23" t="e">
        <f t="shared" si="5"/>
        <v>#DIV/0!</v>
      </c>
      <c r="K113" s="23">
        <f t="shared" si="6"/>
        <v>0</v>
      </c>
      <c r="L113" s="24">
        <f t="shared" si="4"/>
        <v>-20</v>
      </c>
      <c r="M113" s="25"/>
      <c r="N113" s="12"/>
      <c r="O113" s="12"/>
    </row>
    <row r="114" spans="1:15" s="13" customFormat="1" ht="61.5" x14ac:dyDescent="0.45">
      <c r="A114" s="38"/>
      <c r="B114" s="35">
        <v>24060000</v>
      </c>
      <c r="C114" s="45" t="s">
        <v>118</v>
      </c>
      <c r="D114" s="37">
        <v>142.30000000000001</v>
      </c>
      <c r="E114" s="37">
        <v>142.30000000000001</v>
      </c>
      <c r="F114" s="34">
        <f>F115</f>
        <v>39.6</v>
      </c>
      <c r="G114" s="34">
        <f>G115</f>
        <v>50.373939999999997</v>
      </c>
      <c r="H114" s="34"/>
      <c r="I114" s="22">
        <f t="shared" si="3"/>
        <v>10.773939999999996</v>
      </c>
      <c r="J114" s="23">
        <f t="shared" si="5"/>
        <v>1.2720691919191918</v>
      </c>
      <c r="K114" s="23">
        <f t="shared" si="6"/>
        <v>0.35399817287420937</v>
      </c>
      <c r="L114" s="24">
        <f t="shared" si="4"/>
        <v>-91.926060000000007</v>
      </c>
      <c r="M114" s="25"/>
      <c r="N114" s="12"/>
      <c r="O114" s="12"/>
    </row>
    <row r="115" spans="1:15" s="13" customFormat="1" ht="61.5" x14ac:dyDescent="0.45">
      <c r="A115" s="38"/>
      <c r="B115" s="35">
        <v>24060300</v>
      </c>
      <c r="C115" s="45" t="s">
        <v>119</v>
      </c>
      <c r="D115" s="47">
        <v>142.30000000000001</v>
      </c>
      <c r="E115" s="47">
        <v>142.30000000000001</v>
      </c>
      <c r="F115" s="47">
        <v>39.6</v>
      </c>
      <c r="G115" s="48">
        <v>50.373939999999997</v>
      </c>
      <c r="H115" s="34"/>
      <c r="I115" s="22">
        <f t="shared" si="3"/>
        <v>10.773939999999996</v>
      </c>
      <c r="J115" s="23">
        <f t="shared" si="5"/>
        <v>1.2720691919191918</v>
      </c>
      <c r="K115" s="23">
        <f t="shared" si="6"/>
        <v>0.35399817287420937</v>
      </c>
      <c r="L115" s="24">
        <f t="shared" si="4"/>
        <v>-91.926060000000007</v>
      </c>
      <c r="M115" s="25"/>
      <c r="N115" s="12"/>
      <c r="O115" s="12"/>
    </row>
    <row r="116" spans="1:15" s="13" customFormat="1" ht="61.5" x14ac:dyDescent="0.45">
      <c r="A116" s="38"/>
      <c r="B116" s="39">
        <v>30000000</v>
      </c>
      <c r="C116" s="49" t="s">
        <v>120</v>
      </c>
      <c r="D116" s="32">
        <v>48.4</v>
      </c>
      <c r="E116" s="32">
        <v>48.4</v>
      </c>
      <c r="F116" s="33">
        <f>F117</f>
        <v>13</v>
      </c>
      <c r="G116" s="33">
        <f>G117</f>
        <v>13.117800000000001</v>
      </c>
      <c r="H116" s="50"/>
      <c r="I116" s="22">
        <f t="shared" si="3"/>
        <v>0.11780000000000079</v>
      </c>
      <c r="J116" s="23">
        <f t="shared" si="5"/>
        <v>1.0090615384615385</v>
      </c>
      <c r="K116" s="23">
        <f t="shared" si="6"/>
        <v>0.27102892561983472</v>
      </c>
      <c r="L116" s="24">
        <f t="shared" si="4"/>
        <v>-35.282199999999996</v>
      </c>
      <c r="M116" s="25"/>
      <c r="N116" s="12"/>
      <c r="O116" s="12"/>
    </row>
    <row r="117" spans="1:15" s="13" customFormat="1" ht="75.75" customHeight="1" x14ac:dyDescent="0.45">
      <c r="A117" s="38"/>
      <c r="B117" s="30">
        <v>31000000</v>
      </c>
      <c r="C117" s="31" t="s">
        <v>121</v>
      </c>
      <c r="D117" s="51">
        <v>48.4</v>
      </c>
      <c r="E117" s="51">
        <v>48.4</v>
      </c>
      <c r="F117" s="52">
        <f>F118</f>
        <v>13</v>
      </c>
      <c r="G117" s="52">
        <f>G118</f>
        <v>13.117800000000001</v>
      </c>
      <c r="H117" s="34"/>
      <c r="I117" s="22">
        <f t="shared" si="3"/>
        <v>0.11780000000000079</v>
      </c>
      <c r="J117" s="23">
        <f t="shared" si="5"/>
        <v>1.0090615384615385</v>
      </c>
      <c r="K117" s="23">
        <f t="shared" si="6"/>
        <v>0.27102892561983472</v>
      </c>
      <c r="L117" s="24">
        <f t="shared" si="4"/>
        <v>-35.282199999999996</v>
      </c>
      <c r="M117" s="25"/>
      <c r="N117" s="12"/>
      <c r="O117" s="12"/>
    </row>
    <row r="118" spans="1:15" s="13" customFormat="1" ht="324" customHeight="1" thickBot="1" x14ac:dyDescent="0.5">
      <c r="A118" s="53"/>
      <c r="B118" s="54">
        <v>31010200</v>
      </c>
      <c r="C118" s="55" t="s">
        <v>122</v>
      </c>
      <c r="D118" s="56">
        <v>48.4</v>
      </c>
      <c r="E118" s="56">
        <v>48.4</v>
      </c>
      <c r="F118" s="56">
        <v>13</v>
      </c>
      <c r="G118" s="57">
        <v>13.117800000000001</v>
      </c>
      <c r="H118" s="57"/>
      <c r="I118" s="22">
        <f t="shared" si="3"/>
        <v>0.11780000000000079</v>
      </c>
      <c r="J118" s="23">
        <f t="shared" si="5"/>
        <v>1.0090615384615385</v>
      </c>
      <c r="K118" s="23">
        <f t="shared" si="6"/>
        <v>0.27102892561983472</v>
      </c>
      <c r="L118" s="24">
        <f t="shared" si="4"/>
        <v>-35.282199999999996</v>
      </c>
      <c r="M118" s="25"/>
      <c r="N118" s="12"/>
      <c r="O118" s="12"/>
    </row>
    <row r="119" spans="1:15" s="62" customFormat="1" ht="46.5" hidden="1" customHeight="1" thickBot="1" x14ac:dyDescent="0.5">
      <c r="A119" s="58"/>
      <c r="B119" s="59"/>
      <c r="C119" s="60"/>
      <c r="D119" s="61"/>
      <c r="E119" s="61"/>
      <c r="F119" s="61"/>
      <c r="G119" s="52"/>
      <c r="H119" s="52"/>
      <c r="I119" s="22">
        <f t="shared" si="3"/>
        <v>0</v>
      </c>
      <c r="J119" s="23" t="e">
        <f t="shared" si="5"/>
        <v>#DIV/0!</v>
      </c>
      <c r="K119" s="23" t="e">
        <f t="shared" si="6"/>
        <v>#DIV/0!</v>
      </c>
      <c r="L119" s="24">
        <f t="shared" si="4"/>
        <v>0</v>
      </c>
      <c r="M119" s="25"/>
      <c r="N119" s="12"/>
      <c r="O119" s="12"/>
    </row>
    <row r="120" spans="1:15" s="68" customFormat="1" ht="90.75" hidden="1" customHeight="1" x14ac:dyDescent="0.45">
      <c r="A120" s="63"/>
      <c r="B120" s="64"/>
      <c r="C120" s="65" t="s">
        <v>123</v>
      </c>
      <c r="D120" s="66"/>
      <c r="E120" s="66"/>
      <c r="F120" s="66"/>
      <c r="G120" s="67"/>
      <c r="H120" s="67"/>
      <c r="I120" s="22">
        <f t="shared" si="3"/>
        <v>0</v>
      </c>
      <c r="J120" s="23" t="e">
        <f t="shared" si="5"/>
        <v>#DIV/0!</v>
      </c>
      <c r="K120" s="23" t="e">
        <f t="shared" si="6"/>
        <v>#DIV/0!</v>
      </c>
      <c r="L120" s="24">
        <f t="shared" si="4"/>
        <v>0</v>
      </c>
      <c r="M120" s="25"/>
      <c r="N120" s="12"/>
      <c r="O120" s="12"/>
    </row>
    <row r="121" spans="1:15" s="68" customFormat="1" ht="75" customHeight="1" thickBot="1" x14ac:dyDescent="0.5">
      <c r="A121" s="69"/>
      <c r="B121" s="70"/>
      <c r="C121" s="71" t="s">
        <v>124</v>
      </c>
      <c r="D121" s="72">
        <v>1096783</v>
      </c>
      <c r="E121" s="73">
        <f>E5+E87+E116</f>
        <v>1392725.4</v>
      </c>
      <c r="F121" s="73">
        <f>F5+F87+F116</f>
        <v>306920.09999999998</v>
      </c>
      <c r="G121" s="73">
        <f>G5+G87+G116</f>
        <v>410725.79358</v>
      </c>
      <c r="H121" s="74"/>
      <c r="I121" s="75">
        <f>G121-F121</f>
        <v>103805.69358000002</v>
      </c>
      <c r="J121" s="76">
        <f t="shared" si="5"/>
        <v>1.338217319686785</v>
      </c>
      <c r="K121" s="76">
        <f t="shared" si="6"/>
        <v>0.37448227550937607</v>
      </c>
      <c r="L121" s="77">
        <f t="shared" si="4"/>
        <v>-686057.20641999994</v>
      </c>
      <c r="M121" s="25"/>
      <c r="N121" s="12"/>
      <c r="O121" s="12"/>
    </row>
    <row r="122" spans="1:15" s="13" customFormat="1" ht="68.25" customHeight="1" x14ac:dyDescent="0.4">
      <c r="A122" s="78"/>
      <c r="B122" s="79"/>
      <c r="C122" s="80"/>
      <c r="D122" s="81"/>
      <c r="E122" s="81"/>
      <c r="F122" s="81"/>
      <c r="G122" s="82"/>
      <c r="H122" s="82"/>
      <c r="I122" s="83"/>
      <c r="J122" s="84"/>
      <c r="K122" s="84"/>
      <c r="L122" s="85"/>
      <c r="M122" s="12"/>
      <c r="N122" s="12"/>
      <c r="O122" s="12"/>
    </row>
    <row r="123" spans="1:15" s="13" customFormat="1" ht="92.25" customHeight="1" x14ac:dyDescent="0.4">
      <c r="A123" s="86"/>
      <c r="B123" s="87"/>
      <c r="C123" s="88"/>
      <c r="D123" s="89"/>
      <c r="E123" s="89"/>
      <c r="F123" s="89"/>
      <c r="G123" s="90"/>
      <c r="H123" s="91"/>
      <c r="I123" s="92"/>
      <c r="J123" s="93"/>
      <c r="K123" s="93"/>
      <c r="L123" s="94"/>
      <c r="M123" s="12"/>
      <c r="N123" s="12"/>
      <c r="O123" s="12"/>
    </row>
    <row r="124" spans="1:15" s="13" customFormat="1" ht="36" customHeight="1" x14ac:dyDescent="0.4">
      <c r="A124" s="86"/>
      <c r="B124" s="95"/>
      <c r="C124" s="88"/>
      <c r="D124" s="89"/>
      <c r="E124" s="89"/>
      <c r="F124" s="89"/>
      <c r="G124" s="91"/>
      <c r="H124" s="91"/>
      <c r="I124" s="92"/>
      <c r="J124" s="93"/>
      <c r="K124" s="93"/>
      <c r="L124" s="94"/>
      <c r="M124" s="12"/>
      <c r="N124" s="12"/>
      <c r="O124" s="12"/>
    </row>
    <row r="125" spans="1:15" s="13" customFormat="1" ht="30.75" x14ac:dyDescent="0.4">
      <c r="A125" s="86"/>
      <c r="B125" s="87"/>
      <c r="C125" s="88"/>
      <c r="D125" s="89"/>
      <c r="E125" s="89"/>
      <c r="F125" s="89"/>
      <c r="G125" s="91"/>
      <c r="H125" s="91"/>
      <c r="I125" s="92"/>
      <c r="J125" s="93"/>
      <c r="K125" s="93"/>
      <c r="L125" s="94"/>
      <c r="M125" s="12"/>
      <c r="N125" s="12"/>
      <c r="O125" s="12"/>
    </row>
    <row r="126" spans="1:15" s="13" customFormat="1" ht="39.75" customHeight="1" x14ac:dyDescent="0.4">
      <c r="A126" s="86"/>
      <c r="B126" s="87"/>
      <c r="C126" s="88"/>
      <c r="D126" s="89"/>
      <c r="E126" s="89"/>
      <c r="F126" s="89"/>
      <c r="G126" s="91"/>
      <c r="H126" s="91"/>
      <c r="I126" s="92"/>
      <c r="J126" s="93"/>
      <c r="K126" s="93"/>
      <c r="L126" s="94"/>
      <c r="M126" s="12"/>
      <c r="N126" s="12"/>
      <c r="O126" s="12"/>
    </row>
    <row r="127" spans="1:15" s="13" customFormat="1" ht="61.5" customHeight="1" x14ac:dyDescent="0.4">
      <c r="A127" s="86"/>
      <c r="B127" s="96"/>
      <c r="C127" s="97"/>
      <c r="D127" s="98"/>
      <c r="E127" s="98"/>
      <c r="F127" s="99"/>
      <c r="G127" s="91"/>
      <c r="H127" s="91"/>
      <c r="I127" s="92"/>
      <c r="J127" s="93"/>
      <c r="K127" s="93"/>
      <c r="L127" s="94"/>
      <c r="M127" s="12"/>
      <c r="N127" s="12"/>
      <c r="O127" s="12"/>
    </row>
    <row r="128" spans="1:15" s="13" customFormat="1" ht="59.25" hidden="1" customHeight="1" x14ac:dyDescent="0.4">
      <c r="A128" s="86"/>
      <c r="B128" s="96"/>
      <c r="C128" s="97"/>
      <c r="D128" s="98"/>
      <c r="E128" s="98"/>
      <c r="F128" s="99"/>
      <c r="G128" s="91"/>
      <c r="H128" s="91"/>
      <c r="I128" s="92"/>
      <c r="J128" s="93"/>
      <c r="K128" s="93"/>
      <c r="L128" s="94"/>
      <c r="M128" s="12"/>
      <c r="N128" s="12"/>
      <c r="O128" s="12"/>
    </row>
    <row r="129" spans="1:15" s="13" customFormat="1" ht="69" hidden="1" customHeight="1" x14ac:dyDescent="0.4">
      <c r="A129" s="86"/>
      <c r="B129" s="87"/>
      <c r="C129" s="88"/>
      <c r="D129" s="89"/>
      <c r="E129" s="89"/>
      <c r="F129" s="99"/>
      <c r="G129" s="91"/>
      <c r="H129" s="91"/>
      <c r="I129" s="92"/>
      <c r="J129" s="93"/>
      <c r="K129" s="93"/>
      <c r="L129" s="94"/>
      <c r="M129" s="12"/>
      <c r="N129" s="12"/>
      <c r="O129" s="12"/>
    </row>
    <row r="130" spans="1:15" s="13" customFormat="1" ht="103.5" customHeight="1" x14ac:dyDescent="0.4">
      <c r="A130" s="86"/>
      <c r="B130" s="87"/>
      <c r="C130" s="88"/>
      <c r="D130" s="89"/>
      <c r="E130" s="89"/>
      <c r="F130" s="89"/>
      <c r="G130" s="91"/>
      <c r="H130" s="91"/>
      <c r="I130" s="92"/>
      <c r="J130" s="93"/>
      <c r="K130" s="93"/>
      <c r="L130" s="94"/>
      <c r="M130" s="12"/>
      <c r="N130" s="12"/>
      <c r="O130" s="12"/>
    </row>
    <row r="131" spans="1:15" s="13" customFormat="1" ht="30.75" x14ac:dyDescent="0.4">
      <c r="A131" s="86"/>
      <c r="B131" s="87"/>
      <c r="C131" s="88"/>
      <c r="D131" s="89"/>
      <c r="E131" s="89"/>
      <c r="F131" s="99"/>
      <c r="G131" s="91"/>
      <c r="H131" s="91"/>
      <c r="I131" s="92"/>
      <c r="J131" s="93"/>
      <c r="K131" s="93"/>
      <c r="L131" s="94"/>
      <c r="M131" s="12"/>
      <c r="N131" s="12"/>
      <c r="O131" s="12"/>
    </row>
    <row r="132" spans="1:15" s="13" customFormat="1" ht="30.75" hidden="1" x14ac:dyDescent="0.4">
      <c r="A132" s="86"/>
      <c r="B132" s="87"/>
      <c r="C132" s="88"/>
      <c r="D132" s="89"/>
      <c r="E132" s="89"/>
      <c r="F132" s="99"/>
      <c r="G132" s="91"/>
      <c r="H132" s="91"/>
      <c r="I132" s="92"/>
      <c r="J132" s="93"/>
      <c r="K132" s="93"/>
      <c r="L132" s="94"/>
      <c r="M132" s="12"/>
      <c r="N132" s="12"/>
      <c r="O132" s="12"/>
    </row>
    <row r="133" spans="1:15" s="13" customFormat="1" ht="163.5" customHeight="1" x14ac:dyDescent="0.4">
      <c r="A133" s="86"/>
      <c r="B133" s="87"/>
      <c r="C133" s="88"/>
      <c r="D133" s="89"/>
      <c r="E133" s="89"/>
      <c r="F133" s="89"/>
      <c r="G133" s="91"/>
      <c r="H133" s="91"/>
      <c r="I133" s="92"/>
      <c r="J133" s="93"/>
      <c r="K133" s="93"/>
      <c r="L133" s="94"/>
      <c r="M133" s="12"/>
      <c r="N133" s="12"/>
      <c r="O133" s="12"/>
    </row>
    <row r="134" spans="1:15" s="13" customFormat="1" ht="30.75" x14ac:dyDescent="0.4">
      <c r="A134" s="86"/>
      <c r="B134" s="87"/>
      <c r="C134" s="88"/>
      <c r="D134" s="89"/>
      <c r="E134" s="89"/>
      <c r="F134" s="89"/>
      <c r="G134" s="91"/>
      <c r="H134" s="91"/>
      <c r="I134" s="92"/>
      <c r="J134" s="93"/>
      <c r="K134" s="93"/>
      <c r="L134" s="94"/>
      <c r="M134" s="12"/>
      <c r="N134" s="12"/>
      <c r="O134" s="12"/>
    </row>
    <row r="135" spans="1:15" s="13" customFormat="1" ht="30.75" x14ac:dyDescent="0.4">
      <c r="A135" s="86"/>
      <c r="B135" s="87"/>
      <c r="C135" s="88"/>
      <c r="D135" s="89"/>
      <c r="E135" s="89"/>
      <c r="F135" s="89"/>
      <c r="G135" s="91"/>
      <c r="H135" s="91"/>
      <c r="I135" s="92"/>
      <c r="J135" s="93"/>
      <c r="K135" s="93"/>
      <c r="L135" s="94"/>
      <c r="M135" s="12"/>
      <c r="N135" s="12"/>
      <c r="O135" s="12"/>
    </row>
    <row r="136" spans="1:15" s="13" customFormat="1" ht="30.75" hidden="1" x14ac:dyDescent="0.4">
      <c r="A136" s="86"/>
      <c r="B136" s="87"/>
      <c r="C136" s="88"/>
      <c r="D136" s="89"/>
      <c r="E136" s="89"/>
      <c r="F136" s="99"/>
      <c r="G136" s="91"/>
      <c r="H136" s="91"/>
      <c r="I136" s="92"/>
      <c r="J136" s="93"/>
      <c r="K136" s="93"/>
      <c r="L136" s="94"/>
      <c r="M136" s="12"/>
      <c r="N136" s="12"/>
      <c r="O136" s="12"/>
    </row>
    <row r="137" spans="1:15" s="13" customFormat="1" ht="91.5" customHeight="1" x14ac:dyDescent="0.4">
      <c r="A137" s="86"/>
      <c r="B137" s="87"/>
      <c r="C137" s="88"/>
      <c r="D137" s="89"/>
      <c r="E137" s="89"/>
      <c r="F137" s="89"/>
      <c r="G137" s="91"/>
      <c r="H137" s="91"/>
      <c r="I137" s="92"/>
      <c r="J137" s="93"/>
      <c r="K137" s="93"/>
      <c r="L137" s="94"/>
      <c r="M137" s="12"/>
      <c r="N137" s="12"/>
      <c r="O137" s="12"/>
    </row>
    <row r="138" spans="1:15" s="13" customFormat="1" ht="135.75" customHeight="1" x14ac:dyDescent="0.4">
      <c r="A138" s="86"/>
      <c r="B138" s="87"/>
      <c r="C138" s="88"/>
      <c r="D138" s="89"/>
      <c r="E138" s="89"/>
      <c r="F138" s="89"/>
      <c r="G138" s="91"/>
      <c r="H138" s="91"/>
      <c r="I138" s="92"/>
      <c r="J138" s="93"/>
      <c r="K138" s="93"/>
      <c r="L138" s="94"/>
      <c r="M138" s="12"/>
      <c r="N138" s="12"/>
      <c r="O138" s="12"/>
    </row>
    <row r="139" spans="1:15" s="13" customFormat="1" ht="36" customHeight="1" x14ac:dyDescent="0.4">
      <c r="A139" s="86"/>
      <c r="B139" s="87"/>
      <c r="C139" s="88"/>
      <c r="D139" s="89"/>
      <c r="E139" s="89"/>
      <c r="F139" s="89"/>
      <c r="G139" s="91"/>
      <c r="H139" s="91"/>
      <c r="I139" s="92"/>
      <c r="J139" s="93"/>
      <c r="K139" s="93"/>
      <c r="L139" s="94"/>
      <c r="M139" s="12"/>
      <c r="N139" s="12"/>
      <c r="O139" s="12"/>
    </row>
    <row r="140" spans="1:15" s="13" customFormat="1" ht="32.25" hidden="1" customHeight="1" x14ac:dyDescent="0.4">
      <c r="A140" s="86"/>
      <c r="B140" s="96"/>
      <c r="C140" s="97"/>
      <c r="D140" s="98"/>
      <c r="E140" s="98"/>
      <c r="F140" s="99"/>
      <c r="G140" s="91"/>
      <c r="H140" s="91"/>
      <c r="I140" s="92"/>
      <c r="J140" s="93"/>
      <c r="K140" s="93"/>
      <c r="L140" s="94"/>
      <c r="M140" s="12"/>
      <c r="N140" s="12"/>
      <c r="O140" s="12"/>
    </row>
    <row r="141" spans="1:15" s="13" customFormat="1" ht="50.25" hidden="1" customHeight="1" x14ac:dyDescent="0.4">
      <c r="A141" s="86"/>
      <c r="B141" s="96"/>
      <c r="C141" s="97"/>
      <c r="D141" s="98"/>
      <c r="E141" s="98"/>
      <c r="F141" s="99"/>
      <c r="G141" s="91"/>
      <c r="H141" s="91"/>
      <c r="I141" s="92"/>
      <c r="J141" s="93"/>
      <c r="K141" s="93"/>
      <c r="L141" s="94"/>
      <c r="M141" s="12"/>
      <c r="N141" s="12"/>
      <c r="O141" s="12"/>
    </row>
    <row r="142" spans="1:15" s="101" customFormat="1" ht="160.5" customHeight="1" thickBot="1" x14ac:dyDescent="0.45">
      <c r="A142" s="100"/>
      <c r="B142" s="96"/>
      <c r="C142" s="88"/>
      <c r="D142" s="89"/>
      <c r="E142" s="89"/>
      <c r="F142" s="89"/>
      <c r="G142" s="91"/>
      <c r="H142" s="91"/>
      <c r="I142" s="92"/>
      <c r="J142" s="93"/>
      <c r="K142" s="93"/>
      <c r="L142" s="94"/>
      <c r="M142" s="12"/>
      <c r="N142" s="12"/>
      <c r="O142" s="12"/>
    </row>
    <row r="143" spans="1:15" s="62" customFormat="1" ht="49.5" hidden="1" customHeight="1" thickBot="1" x14ac:dyDescent="0.45">
      <c r="A143" s="102"/>
      <c r="B143" s="103"/>
      <c r="C143" s="104"/>
      <c r="D143" s="105"/>
      <c r="E143" s="105"/>
      <c r="F143" s="105"/>
      <c r="G143" s="105"/>
      <c r="H143" s="105"/>
      <c r="I143" s="92"/>
      <c r="J143" s="106"/>
      <c r="K143" s="93"/>
      <c r="L143" s="94"/>
      <c r="M143" s="12"/>
      <c r="N143" s="12"/>
      <c r="O143" s="12"/>
    </row>
    <row r="144" spans="1:15" s="113" customFormat="1" ht="100.5" hidden="1" customHeight="1" thickBot="1" x14ac:dyDescent="0.45">
      <c r="A144" s="107"/>
      <c r="B144" s="103"/>
      <c r="C144" s="108"/>
      <c r="D144" s="109"/>
      <c r="E144" s="109"/>
      <c r="F144" s="109"/>
      <c r="G144" s="109"/>
      <c r="H144" s="109"/>
      <c r="I144" s="110"/>
      <c r="J144" s="111"/>
      <c r="K144" s="106"/>
      <c r="L144" s="112"/>
      <c r="M144" s="12"/>
      <c r="N144" s="12"/>
      <c r="O144" s="12"/>
    </row>
    <row r="145" spans="1:15" s="121" customFormat="1" ht="54" customHeight="1" thickBot="1" x14ac:dyDescent="0.45">
      <c r="A145" s="114"/>
      <c r="B145" s="115"/>
      <c r="C145" s="116"/>
      <c r="D145" s="117"/>
      <c r="E145" s="117"/>
      <c r="F145" s="117"/>
      <c r="G145" s="117"/>
      <c r="H145" s="117"/>
      <c r="I145" s="118"/>
      <c r="J145" s="119"/>
      <c r="K145" s="119"/>
      <c r="L145" s="120"/>
      <c r="M145" s="8"/>
      <c r="N145" s="8"/>
      <c r="O145" s="8"/>
    </row>
    <row r="146" spans="1:15" x14ac:dyDescent="0.3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</row>
    <row r="147" spans="1:15" x14ac:dyDescent="0.35">
      <c r="G147" s="122"/>
      <c r="H147" s="122"/>
      <c r="I147" s="122"/>
      <c r="J147" s="122"/>
    </row>
    <row r="148" spans="1:15" x14ac:dyDescent="0.35">
      <c r="G148" s="122"/>
      <c r="H148" s="122"/>
      <c r="I148" s="122"/>
      <c r="J148" s="122"/>
    </row>
    <row r="149" spans="1:15" x14ac:dyDescent="0.35">
      <c r="G149" s="122"/>
      <c r="H149" s="122"/>
      <c r="I149" s="122"/>
      <c r="J149" s="122"/>
    </row>
    <row r="155" spans="1:15" s="124" customFormat="1" x14ac:dyDescent="0.35"/>
    <row r="156" spans="1:15" s="124" customFormat="1" x14ac:dyDescent="0.35"/>
    <row r="157" spans="1:15" s="124" customFormat="1" x14ac:dyDescent="0.35"/>
    <row r="158" spans="1:15" s="124" customFormat="1" x14ac:dyDescent="0.35"/>
    <row r="159" spans="1:15" s="124" customFormat="1" x14ac:dyDescent="0.35"/>
    <row r="160" spans="1:15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  <row r="617" s="124" customFormat="1" x14ac:dyDescent="0.35"/>
  </sheetData>
  <mergeCells count="12">
    <mergeCell ref="L3:L4"/>
    <mergeCell ref="C1:L1"/>
    <mergeCell ref="A2:A4"/>
    <mergeCell ref="B2:B4"/>
    <mergeCell ref="D2:J2"/>
    <mergeCell ref="C3:C4"/>
    <mergeCell ref="D3:D4"/>
    <mergeCell ref="F3:F4"/>
    <mergeCell ref="I3:I4"/>
    <mergeCell ref="J3:J4"/>
    <mergeCell ref="K3:K4"/>
    <mergeCell ref="E3:E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0" man="1"/>
    <brk id="86" max="10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16"/>
  <sheetViews>
    <sheetView view="pageBreakPreview" zoomScale="30" zoomScaleNormal="50" zoomScaleSheetLayoutView="30" workbookViewId="0">
      <selection activeCell="C6" sqref="C6"/>
    </sheetView>
  </sheetViews>
  <sheetFormatPr defaultRowHeight="25.5" x14ac:dyDescent="0.35"/>
  <cols>
    <col min="1" max="1" width="8.28515625" style="124" customWidth="1"/>
    <col min="2" max="2" width="50" style="124" customWidth="1"/>
    <col min="3" max="3" width="202" style="124" customWidth="1"/>
    <col min="4" max="4" width="57.7109375" style="124" customWidth="1"/>
    <col min="5" max="5" width="47.5703125" style="124" customWidth="1"/>
    <col min="6" max="6" width="63.85546875" style="124" customWidth="1"/>
    <col min="7" max="7" width="19" style="124" hidden="1" customWidth="1"/>
    <col min="8" max="8" width="51.85546875" style="124" customWidth="1"/>
    <col min="9" max="9" width="47.5703125" style="124" customWidth="1"/>
    <col min="10" max="10" width="38.7109375" style="123" customWidth="1"/>
    <col min="11" max="11" width="49.42578125" style="123" customWidth="1"/>
    <col min="12" max="16384" width="9.140625" style="123"/>
  </cols>
  <sheetData>
    <row r="1" spans="1:14" s="4" customFormat="1" ht="120.75" customHeight="1" thickBot="1" x14ac:dyDescent="0.7">
      <c r="A1" s="1"/>
      <c r="B1" s="2"/>
      <c r="C1" s="212" t="s">
        <v>0</v>
      </c>
      <c r="D1" s="212"/>
      <c r="E1" s="212"/>
      <c r="F1" s="212"/>
      <c r="G1" s="212"/>
      <c r="H1" s="212"/>
      <c r="I1" s="213"/>
      <c r="J1" s="213"/>
      <c r="K1" s="213"/>
      <c r="L1" s="3"/>
      <c r="M1" s="3"/>
      <c r="N1" s="3"/>
    </row>
    <row r="2" spans="1:14" s="9" customFormat="1" ht="39" customHeight="1" x14ac:dyDescent="0.4">
      <c r="A2" s="201" t="s">
        <v>1</v>
      </c>
      <c r="B2" s="204" t="s">
        <v>2</v>
      </c>
      <c r="C2" s="5" t="s">
        <v>3</v>
      </c>
      <c r="D2" s="207" t="s">
        <v>4</v>
      </c>
      <c r="E2" s="207"/>
      <c r="F2" s="207"/>
      <c r="G2" s="207"/>
      <c r="H2" s="207"/>
      <c r="I2" s="207"/>
      <c r="J2" s="6"/>
      <c r="K2" s="7"/>
      <c r="L2" s="8"/>
      <c r="M2" s="8"/>
      <c r="N2" s="8"/>
    </row>
    <row r="3" spans="1:14" s="13" customFormat="1" ht="57.75" customHeight="1" x14ac:dyDescent="0.4">
      <c r="A3" s="202"/>
      <c r="B3" s="205"/>
      <c r="C3" s="208" t="s">
        <v>5</v>
      </c>
      <c r="D3" s="209" t="s">
        <v>6</v>
      </c>
      <c r="E3" s="210" t="s">
        <v>125</v>
      </c>
      <c r="F3" s="10" t="s">
        <v>7</v>
      </c>
      <c r="G3" s="11" t="s">
        <v>7</v>
      </c>
      <c r="H3" s="197" t="s">
        <v>8</v>
      </c>
      <c r="I3" s="197" t="s">
        <v>9</v>
      </c>
      <c r="J3" s="197" t="s">
        <v>10</v>
      </c>
      <c r="K3" s="198" t="s">
        <v>11</v>
      </c>
      <c r="L3" s="12"/>
      <c r="M3" s="12"/>
      <c r="N3" s="12"/>
    </row>
    <row r="4" spans="1:14" s="13" customFormat="1" ht="88.5" customHeight="1" x14ac:dyDescent="0.4">
      <c r="A4" s="203"/>
      <c r="B4" s="206"/>
      <c r="C4" s="208"/>
      <c r="D4" s="209"/>
      <c r="E4" s="211"/>
      <c r="F4" s="14">
        <v>42094</v>
      </c>
      <c r="G4" s="15">
        <f>'[1]412 zv (2011)'!$A$7+1</f>
        <v>40955</v>
      </c>
      <c r="H4" s="197"/>
      <c r="I4" s="197"/>
      <c r="J4" s="197"/>
      <c r="K4" s="198"/>
      <c r="L4" s="12"/>
      <c r="M4" s="12"/>
      <c r="N4" s="12"/>
    </row>
    <row r="5" spans="1:14" s="13" customFormat="1" ht="51.75" customHeight="1" x14ac:dyDescent="0.45">
      <c r="A5" s="16"/>
      <c r="B5" s="17">
        <v>10000000</v>
      </c>
      <c r="C5" s="18" t="s">
        <v>12</v>
      </c>
      <c r="D5" s="19">
        <v>1078584.8</v>
      </c>
      <c r="E5" s="20">
        <f>E6+E31+E44+E46+E49+E81</f>
        <v>235334</v>
      </c>
      <c r="F5" s="20">
        <f>F6+F31+F44+F46+F49+F81</f>
        <v>403700.68891999999</v>
      </c>
      <c r="G5" s="21"/>
      <c r="H5" s="22">
        <f>F5-E5</f>
        <v>168366.68891999999</v>
      </c>
      <c r="I5" s="23">
        <f>F5/E5</f>
        <v>1.7154371613111576</v>
      </c>
      <c r="J5" s="23">
        <f>F5/D5</f>
        <v>0.37428738929011418</v>
      </c>
      <c r="K5" s="24">
        <f>F5-D5</f>
        <v>-674884.11108000006</v>
      </c>
      <c r="L5" s="25"/>
      <c r="M5" s="12"/>
      <c r="N5" s="12"/>
    </row>
    <row r="6" spans="1:14" s="13" customFormat="1" ht="123.75" customHeight="1" x14ac:dyDescent="0.45">
      <c r="A6" s="16"/>
      <c r="B6" s="26">
        <v>11000000</v>
      </c>
      <c r="C6" s="27" t="s">
        <v>13</v>
      </c>
      <c r="D6" s="28">
        <v>705340.9</v>
      </c>
      <c r="E6" s="20">
        <f>E7+E13</f>
        <v>147631.4</v>
      </c>
      <c r="F6" s="20">
        <f>F7+F13</f>
        <v>248924.57945000005</v>
      </c>
      <c r="G6" s="21"/>
      <c r="H6" s="22">
        <f>F6-E6</f>
        <v>101293.17945000005</v>
      </c>
      <c r="I6" s="23">
        <f>F6/E6</f>
        <v>1.686122189791603</v>
      </c>
      <c r="J6" s="23">
        <f>F6/D6</f>
        <v>0.35291385973789419</v>
      </c>
      <c r="K6" s="24">
        <f>F6-D6</f>
        <v>-456416.32054999995</v>
      </c>
      <c r="L6" s="25"/>
      <c r="M6" s="12"/>
      <c r="N6" s="12"/>
    </row>
    <row r="7" spans="1:14" s="13" customFormat="1" ht="59.25" customHeight="1" x14ac:dyDescent="0.45">
      <c r="A7" s="29"/>
      <c r="B7" s="30">
        <v>11010000</v>
      </c>
      <c r="C7" s="31" t="s">
        <v>14</v>
      </c>
      <c r="D7" s="32">
        <f>(SUM([1]Голосіїв!O12))/1000</f>
        <v>704381.4</v>
      </c>
      <c r="E7" s="33">
        <f>E8+E9+E11+E12+E10</f>
        <v>147400</v>
      </c>
      <c r="F7" s="33">
        <f>F8+F9+F11+F12+F10</f>
        <v>190307.02922000005</v>
      </c>
      <c r="G7" s="34">
        <f>('[1]класифікація (2011)'!C8-'[1]класифікація (2011)'!C12-'[1]класифікація (2011)'!C24)/1000</f>
        <v>93520.299014999997</v>
      </c>
      <c r="H7" s="22">
        <f>F7-E7</f>
        <v>42907.029220000055</v>
      </c>
      <c r="I7" s="23">
        <f>F7/E7</f>
        <v>1.2910924641791048</v>
      </c>
      <c r="J7" s="23">
        <f>F7/D7</f>
        <v>0.27017611370771583</v>
      </c>
      <c r="K7" s="24">
        <f>F7-D7</f>
        <v>-514074.37078</v>
      </c>
      <c r="L7" s="25"/>
      <c r="M7" s="12"/>
      <c r="N7" s="12"/>
    </row>
    <row r="8" spans="1:14" s="13" customFormat="1" ht="177" customHeight="1" x14ac:dyDescent="0.45">
      <c r="A8" s="29"/>
      <c r="B8" s="35">
        <v>11010100</v>
      </c>
      <c r="C8" s="36" t="s">
        <v>15</v>
      </c>
      <c r="D8" s="37">
        <v>631281.4</v>
      </c>
      <c r="E8" s="37">
        <v>132800</v>
      </c>
      <c r="F8" s="34">
        <f>433351.60866-260010.96521</f>
        <v>173340.64345000003</v>
      </c>
      <c r="G8" s="34"/>
      <c r="H8" s="22">
        <f t="shared" ref="H8:H71" si="0">F8-E8</f>
        <v>40540.643450000032</v>
      </c>
      <c r="I8" s="23">
        <f>F8/E8</f>
        <v>1.3052759295933738</v>
      </c>
      <c r="J8" s="23">
        <f>F8/D8</f>
        <v>0.27458538054503112</v>
      </c>
      <c r="K8" s="24">
        <f t="shared" ref="K8:K71" si="1">F8-D8</f>
        <v>-457940.75654999999</v>
      </c>
      <c r="L8" s="25"/>
      <c r="M8" s="12"/>
      <c r="N8" s="12"/>
    </row>
    <row r="9" spans="1:14" s="13" customFormat="1" ht="314.25" customHeight="1" x14ac:dyDescent="0.45">
      <c r="A9" s="38"/>
      <c r="B9" s="35">
        <v>11010200</v>
      </c>
      <c r="C9" s="36" t="s">
        <v>16</v>
      </c>
      <c r="D9" s="37">
        <v>7200</v>
      </c>
      <c r="E9" s="37">
        <v>2000</v>
      </c>
      <c r="F9" s="34">
        <f>4338.25695-2602.95417</f>
        <v>1735.30278</v>
      </c>
      <c r="G9" s="34"/>
      <c r="H9" s="22">
        <f t="shared" si="0"/>
        <v>-264.69722000000002</v>
      </c>
      <c r="I9" s="23">
        <f>F9/E9</f>
        <v>0.86765139000000002</v>
      </c>
      <c r="J9" s="23">
        <f>F9/D9</f>
        <v>0.241014275</v>
      </c>
      <c r="K9" s="24">
        <f t="shared" si="1"/>
        <v>-5464.69722</v>
      </c>
      <c r="L9" s="25"/>
      <c r="M9" s="12"/>
      <c r="N9" s="12"/>
    </row>
    <row r="10" spans="1:14" s="13" customFormat="1" ht="133.5" customHeight="1" x14ac:dyDescent="0.45">
      <c r="A10" s="38"/>
      <c r="B10" s="35">
        <v>11010300</v>
      </c>
      <c r="C10" s="36" t="s">
        <v>17</v>
      </c>
      <c r="D10" s="37">
        <v>0</v>
      </c>
      <c r="E10" s="37">
        <v>0</v>
      </c>
      <c r="F10" s="34">
        <f>0.28734-0.1724</f>
        <v>0.11493999999999999</v>
      </c>
      <c r="G10" s="34"/>
      <c r="H10" s="22">
        <f t="shared" si="0"/>
        <v>0.11493999999999999</v>
      </c>
      <c r="I10" s="23">
        <v>0</v>
      </c>
      <c r="J10" s="23">
        <v>0</v>
      </c>
      <c r="K10" s="24">
        <f t="shared" si="1"/>
        <v>0.11493999999999999</v>
      </c>
      <c r="L10" s="25"/>
      <c r="M10" s="12"/>
      <c r="N10" s="12"/>
    </row>
    <row r="11" spans="1:14" s="13" customFormat="1" ht="193.5" customHeight="1" x14ac:dyDescent="0.45">
      <c r="A11" s="38"/>
      <c r="B11" s="35">
        <v>11010400</v>
      </c>
      <c r="C11" s="36" t="s">
        <v>18</v>
      </c>
      <c r="D11" s="37">
        <v>40000</v>
      </c>
      <c r="E11" s="37">
        <v>9100</v>
      </c>
      <c r="F11" s="34">
        <f>29341.52061-17604.91233</f>
        <v>11736.60828</v>
      </c>
      <c r="G11" s="34"/>
      <c r="H11" s="22">
        <f t="shared" si="0"/>
        <v>2636.6082800000004</v>
      </c>
      <c r="I11" s="23">
        <f>F11/E11</f>
        <v>1.2897371736263736</v>
      </c>
      <c r="J11" s="23">
        <f>F11/D11</f>
        <v>0.29341520700000001</v>
      </c>
      <c r="K11" s="24">
        <f t="shared" si="1"/>
        <v>-28263.39172</v>
      </c>
      <c r="L11" s="25"/>
      <c r="M11" s="12"/>
      <c r="N11" s="12"/>
    </row>
    <row r="12" spans="1:14" s="13" customFormat="1" ht="184.5" x14ac:dyDescent="0.45">
      <c r="A12" s="38"/>
      <c r="B12" s="35">
        <v>11010500</v>
      </c>
      <c r="C12" s="36" t="s">
        <v>19</v>
      </c>
      <c r="D12" s="37">
        <v>25900</v>
      </c>
      <c r="E12" s="37">
        <v>3500</v>
      </c>
      <c r="F12" s="34">
        <f>8735.89941-5241.53964</f>
        <v>3494.35977</v>
      </c>
      <c r="G12" s="34"/>
      <c r="H12" s="22">
        <f t="shared" si="0"/>
        <v>-5.6402299999999741</v>
      </c>
      <c r="I12" s="23">
        <f>F12/E12</f>
        <v>0.99838850571428572</v>
      </c>
      <c r="J12" s="23">
        <f>F12/D12</f>
        <v>0.13491736563706563</v>
      </c>
      <c r="K12" s="24">
        <f t="shared" si="1"/>
        <v>-22405.640230000001</v>
      </c>
      <c r="L12" s="25"/>
      <c r="M12" s="12"/>
      <c r="N12" s="12"/>
    </row>
    <row r="13" spans="1:14" s="13" customFormat="1" ht="61.5" x14ac:dyDescent="0.45">
      <c r="A13" s="38"/>
      <c r="B13" s="39">
        <v>11020000</v>
      </c>
      <c r="C13" s="31" t="s">
        <v>20</v>
      </c>
      <c r="D13" s="32">
        <v>959.5</v>
      </c>
      <c r="E13" s="33">
        <f>E14+E15+E23+E16+E17+E18+E19+E20+E21+E22+E24+E25+E26+E27+E28+E29+E30</f>
        <v>231.4</v>
      </c>
      <c r="F13" s="33">
        <f>F14+F15+F23+F16+F17+F18+F19+F20+F21+F22+F24+F25+F26+F27+F28+F29+F30</f>
        <v>58617.550230000001</v>
      </c>
      <c r="G13" s="34"/>
      <c r="H13" s="22">
        <f t="shared" si="0"/>
        <v>58386.150229999999</v>
      </c>
      <c r="I13" s="23">
        <f>F13/E13</f>
        <v>253.31698457216939</v>
      </c>
      <c r="J13" s="23">
        <f>F13/D13</f>
        <v>61.091766784783744</v>
      </c>
      <c r="K13" s="24">
        <f t="shared" si="1"/>
        <v>57658.050230000001</v>
      </c>
      <c r="L13" s="25"/>
      <c r="M13" s="12"/>
      <c r="N13" s="12"/>
    </row>
    <row r="14" spans="1:14" s="13" customFormat="1" ht="122.25" customHeight="1" x14ac:dyDescent="0.45">
      <c r="A14" s="38"/>
      <c r="B14" s="35">
        <v>11020200</v>
      </c>
      <c r="C14" s="36" t="s">
        <v>21</v>
      </c>
      <c r="D14" s="37">
        <v>487.5</v>
      </c>
      <c r="E14" s="37">
        <v>119.4</v>
      </c>
      <c r="F14" s="34">
        <v>76.345659999999995</v>
      </c>
      <c r="G14" s="34"/>
      <c r="H14" s="22">
        <f t="shared" si="0"/>
        <v>-43.05434000000001</v>
      </c>
      <c r="I14" s="23">
        <f>F14/E14</f>
        <v>0.63941088777219424</v>
      </c>
      <c r="J14" s="23">
        <f>F14/D14</f>
        <v>0.15660648205128205</v>
      </c>
      <c r="K14" s="24">
        <f t="shared" si="1"/>
        <v>-411.15433999999999</v>
      </c>
      <c r="L14" s="25"/>
      <c r="M14" s="12"/>
      <c r="N14" s="12"/>
    </row>
    <row r="15" spans="1:14" s="13" customFormat="1" ht="126.75" customHeight="1" x14ac:dyDescent="0.45">
      <c r="A15" s="38"/>
      <c r="B15" s="35">
        <v>11020202</v>
      </c>
      <c r="C15" s="36" t="s">
        <v>22</v>
      </c>
      <c r="D15" s="37"/>
      <c r="E15" s="37"/>
      <c r="F15" s="34">
        <v>97.257000000000005</v>
      </c>
      <c r="G15" s="34"/>
      <c r="H15" s="22">
        <f t="shared" si="0"/>
        <v>97.257000000000005</v>
      </c>
      <c r="I15" s="23">
        <v>0</v>
      </c>
      <c r="J15" s="23">
        <v>0</v>
      </c>
      <c r="K15" s="24">
        <f t="shared" si="1"/>
        <v>97.257000000000005</v>
      </c>
      <c r="L15" s="25"/>
      <c r="M15" s="12"/>
      <c r="N15" s="12"/>
    </row>
    <row r="16" spans="1:14" s="13" customFormat="1" ht="129.75" customHeight="1" x14ac:dyDescent="0.45">
      <c r="A16" s="38"/>
      <c r="B16" s="35">
        <v>11020300</v>
      </c>
      <c r="C16" s="36" t="s">
        <v>23</v>
      </c>
      <c r="D16" s="37"/>
      <c r="E16" s="37"/>
      <c r="F16" s="34">
        <f>184604.70928-166144.23834</f>
        <v>18460.470939999999</v>
      </c>
      <c r="G16" s="34"/>
      <c r="H16" s="22">
        <f t="shared" si="0"/>
        <v>18460.470939999999</v>
      </c>
      <c r="I16" s="23">
        <v>0</v>
      </c>
      <c r="J16" s="23">
        <v>0</v>
      </c>
      <c r="K16" s="24">
        <f t="shared" si="1"/>
        <v>18460.470939999999</v>
      </c>
      <c r="L16" s="25"/>
      <c r="M16" s="12"/>
      <c r="N16" s="12"/>
    </row>
    <row r="17" spans="1:14" s="13" customFormat="1" ht="70.5" customHeight="1" x14ac:dyDescent="0.45">
      <c r="A17" s="38"/>
      <c r="B17" s="35">
        <v>11020500</v>
      </c>
      <c r="C17" s="36" t="s">
        <v>24</v>
      </c>
      <c r="D17" s="37"/>
      <c r="E17" s="37"/>
      <c r="F17" s="34">
        <f>32677.69905-29409.92909</f>
        <v>3267.7699599999978</v>
      </c>
      <c r="G17" s="34"/>
      <c r="H17" s="22">
        <f t="shared" si="0"/>
        <v>3267.7699599999978</v>
      </c>
      <c r="I17" s="23">
        <v>0</v>
      </c>
      <c r="J17" s="23">
        <v>0</v>
      </c>
      <c r="K17" s="24">
        <f t="shared" si="1"/>
        <v>3267.7699599999978</v>
      </c>
      <c r="L17" s="25"/>
      <c r="M17" s="12"/>
      <c r="N17" s="12"/>
    </row>
    <row r="18" spans="1:14" s="13" customFormat="1" ht="129" customHeight="1" x14ac:dyDescent="0.45">
      <c r="A18" s="38"/>
      <c r="B18" s="35">
        <v>11020600</v>
      </c>
      <c r="C18" s="36" t="s">
        <v>25</v>
      </c>
      <c r="D18" s="37"/>
      <c r="E18" s="37"/>
      <c r="F18" s="34">
        <f>1983.285-1784.9565</f>
        <v>198.32850000000008</v>
      </c>
      <c r="G18" s="34"/>
      <c r="H18" s="22">
        <f t="shared" si="0"/>
        <v>198.32850000000008</v>
      </c>
      <c r="I18" s="23">
        <v>0</v>
      </c>
      <c r="J18" s="23">
        <v>0</v>
      </c>
      <c r="K18" s="24">
        <f t="shared" si="1"/>
        <v>198.32850000000008</v>
      </c>
      <c r="L18" s="25"/>
      <c r="M18" s="12"/>
      <c r="N18" s="12"/>
    </row>
    <row r="19" spans="1:14" s="13" customFormat="1" ht="130.5" customHeight="1" x14ac:dyDescent="0.45">
      <c r="A19" s="38"/>
      <c r="B19" s="35">
        <v>11020700</v>
      </c>
      <c r="C19" s="36" t="s">
        <v>26</v>
      </c>
      <c r="D19" s="37"/>
      <c r="E19" s="37"/>
      <c r="F19" s="34">
        <f>18954.25181-17058.82663</f>
        <v>1895.425180000002</v>
      </c>
      <c r="G19" s="34"/>
      <c r="H19" s="22">
        <f t="shared" si="0"/>
        <v>1895.425180000002</v>
      </c>
      <c r="I19" s="23">
        <v>0</v>
      </c>
      <c r="J19" s="23">
        <v>0</v>
      </c>
      <c r="K19" s="24">
        <f t="shared" si="1"/>
        <v>1895.425180000002</v>
      </c>
      <c r="L19" s="25"/>
      <c r="M19" s="12"/>
      <c r="N19" s="12"/>
    </row>
    <row r="20" spans="1:14" s="13" customFormat="1" ht="177" customHeight="1" x14ac:dyDescent="0.45">
      <c r="A20" s="38"/>
      <c r="B20" s="35">
        <v>11020900</v>
      </c>
      <c r="C20" s="36" t="s">
        <v>27</v>
      </c>
      <c r="D20" s="37"/>
      <c r="E20" s="37"/>
      <c r="F20" s="34">
        <f>1196.025-1076.42249</f>
        <v>119.60251000000017</v>
      </c>
      <c r="G20" s="34"/>
      <c r="H20" s="22">
        <f t="shared" si="0"/>
        <v>119.60251000000017</v>
      </c>
      <c r="I20" s="23">
        <v>0</v>
      </c>
      <c r="J20" s="23">
        <v>0</v>
      </c>
      <c r="K20" s="24">
        <f t="shared" si="1"/>
        <v>119.60251000000017</v>
      </c>
      <c r="L20" s="25"/>
      <c r="M20" s="12"/>
      <c r="N20" s="12"/>
    </row>
    <row r="21" spans="1:14" s="13" customFormat="1" ht="84" customHeight="1" x14ac:dyDescent="0.45">
      <c r="A21" s="38"/>
      <c r="B21" s="35">
        <v>11021000</v>
      </c>
      <c r="C21" s="36" t="s">
        <v>28</v>
      </c>
      <c r="D21" s="37"/>
      <c r="E21" s="37"/>
      <c r="F21" s="34">
        <f>142155.51369-127939.96225</f>
        <v>14215.551439999996</v>
      </c>
      <c r="G21" s="34"/>
      <c r="H21" s="22">
        <f t="shared" si="0"/>
        <v>14215.551439999996</v>
      </c>
      <c r="I21" s="23">
        <v>0</v>
      </c>
      <c r="J21" s="23">
        <v>0</v>
      </c>
      <c r="K21" s="24">
        <f t="shared" si="1"/>
        <v>14215.551439999996</v>
      </c>
      <c r="L21" s="25"/>
      <c r="M21" s="12"/>
      <c r="N21" s="12"/>
    </row>
    <row r="22" spans="1:14" s="13" customFormat="1" ht="59.25" customHeight="1" x14ac:dyDescent="0.45">
      <c r="A22" s="38"/>
      <c r="B22" s="35">
        <v>11021600</v>
      </c>
      <c r="C22" s="36" t="s">
        <v>29</v>
      </c>
      <c r="D22" s="37"/>
      <c r="E22" s="37"/>
      <c r="F22" s="34">
        <f>1743.3306-1568.99754</f>
        <v>174.33305999999993</v>
      </c>
      <c r="G22" s="34"/>
      <c r="H22" s="22">
        <f t="shared" si="0"/>
        <v>174.33305999999993</v>
      </c>
      <c r="I22" s="23">
        <v>0</v>
      </c>
      <c r="J22" s="23">
        <v>0</v>
      </c>
      <c r="K22" s="24">
        <f t="shared" si="1"/>
        <v>174.33305999999993</v>
      </c>
      <c r="L22" s="25"/>
      <c r="M22" s="12"/>
      <c r="N22" s="12"/>
    </row>
    <row r="23" spans="1:14" s="13" customFormat="1" ht="180.75" customHeight="1" x14ac:dyDescent="0.45">
      <c r="A23" s="38"/>
      <c r="B23" s="35">
        <v>11023200</v>
      </c>
      <c r="C23" s="36" t="s">
        <v>30</v>
      </c>
      <c r="D23" s="37">
        <v>472</v>
      </c>
      <c r="E23" s="37">
        <v>112</v>
      </c>
      <c r="F23" s="34">
        <f>89.527+0.67</f>
        <v>90.197000000000003</v>
      </c>
      <c r="G23" s="34"/>
      <c r="H23" s="22">
        <f t="shared" si="0"/>
        <v>-21.802999999999997</v>
      </c>
      <c r="I23" s="23">
        <f>F23/E23</f>
        <v>0.80533035714285717</v>
      </c>
      <c r="J23" s="23">
        <f>F23/D23</f>
        <v>0.19109533898305087</v>
      </c>
      <c r="K23" s="24">
        <f t="shared" si="1"/>
        <v>-381.803</v>
      </c>
      <c r="L23" s="25"/>
      <c r="M23" s="12"/>
      <c r="N23" s="12"/>
    </row>
    <row r="24" spans="1:14" s="13" customFormat="1" ht="118.5" customHeight="1" x14ac:dyDescent="0.45">
      <c r="A24" s="38"/>
      <c r="B24" s="35">
        <v>11023300</v>
      </c>
      <c r="C24" s="36" t="s">
        <v>31</v>
      </c>
      <c r="D24" s="37"/>
      <c r="E24" s="37"/>
      <c r="F24" s="34">
        <f>93677.62651-84309.86386</f>
        <v>9367.7626500000042</v>
      </c>
      <c r="G24" s="34"/>
      <c r="H24" s="22">
        <f t="shared" si="0"/>
        <v>9367.7626500000042</v>
      </c>
      <c r="I24" s="23">
        <v>0</v>
      </c>
      <c r="J24" s="23">
        <v>0</v>
      </c>
      <c r="K24" s="24">
        <f t="shared" si="1"/>
        <v>9367.7626500000042</v>
      </c>
      <c r="L24" s="25"/>
      <c r="M24" s="12"/>
      <c r="N24" s="12"/>
    </row>
    <row r="25" spans="1:14" s="13" customFormat="1" ht="123.75" customHeight="1" x14ac:dyDescent="0.45">
      <c r="A25" s="38"/>
      <c r="B25" s="35">
        <v>11023500</v>
      </c>
      <c r="C25" s="36" t="s">
        <v>32</v>
      </c>
      <c r="D25" s="37"/>
      <c r="E25" s="37"/>
      <c r="F25" s="34">
        <f>2533.88-2280.492</f>
        <v>253.38799999999992</v>
      </c>
      <c r="G25" s="34"/>
      <c r="H25" s="22">
        <f t="shared" si="0"/>
        <v>253.38799999999992</v>
      </c>
      <c r="I25" s="23">
        <v>0</v>
      </c>
      <c r="J25" s="23">
        <v>0</v>
      </c>
      <c r="K25" s="24">
        <f t="shared" si="1"/>
        <v>253.38799999999992</v>
      </c>
      <c r="L25" s="25"/>
      <c r="M25" s="12"/>
      <c r="N25" s="12"/>
    </row>
    <row r="26" spans="1:14" s="13" customFormat="1" ht="109.5" customHeight="1" x14ac:dyDescent="0.45">
      <c r="A26" s="38"/>
      <c r="B26" s="35">
        <v>11023600</v>
      </c>
      <c r="C26" s="36" t="s">
        <v>33</v>
      </c>
      <c r="D26" s="37"/>
      <c r="E26" s="37"/>
      <c r="F26" s="34">
        <f>31616.89126-28455.20213</f>
        <v>3161.6891299999988</v>
      </c>
      <c r="G26" s="34"/>
      <c r="H26" s="22">
        <f t="shared" si="0"/>
        <v>3161.6891299999988</v>
      </c>
      <c r="I26" s="23">
        <v>0</v>
      </c>
      <c r="J26" s="23">
        <v>0</v>
      </c>
      <c r="K26" s="24">
        <f t="shared" si="1"/>
        <v>3161.6891299999988</v>
      </c>
      <c r="L26" s="25"/>
      <c r="M26" s="12"/>
      <c r="N26" s="12"/>
    </row>
    <row r="27" spans="1:14" s="13" customFormat="1" ht="192.75" customHeight="1" x14ac:dyDescent="0.45">
      <c r="A27" s="38"/>
      <c r="B27" s="35">
        <v>11023700</v>
      </c>
      <c r="C27" s="36" t="s">
        <v>34</v>
      </c>
      <c r="D27" s="37"/>
      <c r="E27" s="37"/>
      <c r="F27" s="34">
        <f>18811.18953-16930.07058</f>
        <v>1881.11895</v>
      </c>
      <c r="G27" s="34"/>
      <c r="H27" s="22">
        <f t="shared" si="0"/>
        <v>1881.11895</v>
      </c>
      <c r="I27" s="23">
        <v>0</v>
      </c>
      <c r="J27" s="23">
        <v>0</v>
      </c>
      <c r="K27" s="24">
        <f t="shared" si="1"/>
        <v>1881.11895</v>
      </c>
      <c r="L27" s="25"/>
      <c r="M27" s="12"/>
      <c r="N27" s="12"/>
    </row>
    <row r="28" spans="1:14" s="13" customFormat="1" ht="123.75" customHeight="1" x14ac:dyDescent="0.45">
      <c r="A28" s="38"/>
      <c r="B28" s="35">
        <v>11023900</v>
      </c>
      <c r="C28" s="36" t="s">
        <v>35</v>
      </c>
      <c r="D28" s="37"/>
      <c r="E28" s="37"/>
      <c r="F28" s="34">
        <f>0.18041-0.16237</f>
        <v>1.804E-2</v>
      </c>
      <c r="G28" s="34"/>
      <c r="H28" s="22">
        <f t="shared" si="0"/>
        <v>1.804E-2</v>
      </c>
      <c r="I28" s="23">
        <v>0</v>
      </c>
      <c r="J28" s="23">
        <v>0</v>
      </c>
      <c r="K28" s="24">
        <f t="shared" si="1"/>
        <v>1.804E-2</v>
      </c>
      <c r="L28" s="25"/>
      <c r="M28" s="12"/>
      <c r="N28" s="12"/>
    </row>
    <row r="29" spans="1:14" s="13" customFormat="1" ht="120" customHeight="1" x14ac:dyDescent="0.45">
      <c r="A29" s="38"/>
      <c r="B29" s="35">
        <v>11024000</v>
      </c>
      <c r="C29" s="36" t="s">
        <v>36</v>
      </c>
      <c r="D29" s="37"/>
      <c r="E29" s="37"/>
      <c r="F29" s="34">
        <f>53106.56302-47795.90671</f>
        <v>5310.6563099999985</v>
      </c>
      <c r="G29" s="34"/>
      <c r="H29" s="22">
        <f t="shared" si="0"/>
        <v>5310.6563099999985</v>
      </c>
      <c r="I29" s="23">
        <v>0</v>
      </c>
      <c r="J29" s="23">
        <v>0</v>
      </c>
      <c r="K29" s="24">
        <f t="shared" si="1"/>
        <v>5310.6563099999985</v>
      </c>
      <c r="L29" s="25"/>
      <c r="M29" s="12"/>
      <c r="N29" s="12"/>
    </row>
    <row r="30" spans="1:14" s="13" customFormat="1" ht="182.25" customHeight="1" x14ac:dyDescent="0.45">
      <c r="A30" s="38"/>
      <c r="B30" s="35">
        <v>11024600</v>
      </c>
      <c r="C30" s="36" t="s">
        <v>37</v>
      </c>
      <c r="D30" s="37"/>
      <c r="E30" s="37"/>
      <c r="F30" s="34">
        <f>476.359-428.7231</f>
        <v>47.635899999999992</v>
      </c>
      <c r="G30" s="34"/>
      <c r="H30" s="22">
        <f t="shared" si="0"/>
        <v>47.635899999999992</v>
      </c>
      <c r="I30" s="23">
        <v>0</v>
      </c>
      <c r="J30" s="23">
        <v>0</v>
      </c>
      <c r="K30" s="24">
        <f t="shared" si="1"/>
        <v>47.635899999999992</v>
      </c>
      <c r="L30" s="25"/>
      <c r="M30" s="12"/>
      <c r="N30" s="12"/>
    </row>
    <row r="31" spans="1:14" s="13" customFormat="1" ht="107.25" customHeight="1" x14ac:dyDescent="0.45">
      <c r="A31" s="38"/>
      <c r="B31" s="39">
        <v>13000000</v>
      </c>
      <c r="C31" s="40" t="s">
        <v>38</v>
      </c>
      <c r="D31" s="32">
        <v>7626.9</v>
      </c>
      <c r="E31" s="33">
        <f>E32+E34+E39+E42</f>
        <v>1831.2999999999997</v>
      </c>
      <c r="F31" s="33">
        <f>F32+F34+F39+F42</f>
        <v>3079.7337200000002</v>
      </c>
      <c r="G31" s="34"/>
      <c r="H31" s="22">
        <f t="shared" si="0"/>
        <v>1248.4337200000004</v>
      </c>
      <c r="I31" s="23">
        <f>F31/E31</f>
        <v>1.6817199366570199</v>
      </c>
      <c r="J31" s="23">
        <f>F31/D31</f>
        <v>0.40379888552360726</v>
      </c>
      <c r="K31" s="24">
        <f t="shared" si="1"/>
        <v>-4547.1662799999995</v>
      </c>
      <c r="L31" s="25"/>
      <c r="M31" s="12"/>
      <c r="N31" s="12"/>
    </row>
    <row r="32" spans="1:14" s="13" customFormat="1" ht="114.75" customHeight="1" x14ac:dyDescent="0.45">
      <c r="A32" s="38"/>
      <c r="B32" s="30">
        <v>13010000</v>
      </c>
      <c r="C32" s="31" t="s">
        <v>39</v>
      </c>
      <c r="D32" s="37">
        <v>0</v>
      </c>
      <c r="E32" s="37">
        <v>0</v>
      </c>
      <c r="F32" s="41">
        <f>F33</f>
        <v>11.074949999999999</v>
      </c>
      <c r="G32" s="34"/>
      <c r="H32" s="22">
        <f t="shared" si="0"/>
        <v>11.074949999999999</v>
      </c>
      <c r="I32" s="23">
        <v>0</v>
      </c>
      <c r="J32" s="23">
        <v>0</v>
      </c>
      <c r="K32" s="24">
        <f t="shared" si="1"/>
        <v>11.074949999999999</v>
      </c>
      <c r="L32" s="25"/>
      <c r="M32" s="12"/>
      <c r="N32" s="12"/>
    </row>
    <row r="33" spans="1:14" s="13" customFormat="1" ht="306" customHeight="1" x14ac:dyDescent="0.45">
      <c r="A33" s="38"/>
      <c r="B33" s="42">
        <v>13010200</v>
      </c>
      <c r="C33" s="36" t="s">
        <v>40</v>
      </c>
      <c r="D33" s="37">
        <v>0</v>
      </c>
      <c r="E33" s="37">
        <v>0</v>
      </c>
      <c r="F33" s="34">
        <v>11.074949999999999</v>
      </c>
      <c r="G33" s="34"/>
      <c r="H33" s="22">
        <f t="shared" si="0"/>
        <v>11.074949999999999</v>
      </c>
      <c r="I33" s="23">
        <v>0</v>
      </c>
      <c r="J33" s="23">
        <v>0</v>
      </c>
      <c r="K33" s="24">
        <f t="shared" si="1"/>
        <v>11.074949999999999</v>
      </c>
      <c r="L33" s="25"/>
      <c r="M33" s="12"/>
      <c r="N33" s="12"/>
    </row>
    <row r="34" spans="1:14" s="13" customFormat="1" ht="143.25" customHeight="1" x14ac:dyDescent="0.45">
      <c r="A34" s="38"/>
      <c r="B34" s="30">
        <v>13020000</v>
      </c>
      <c r="C34" s="31" t="s">
        <v>41</v>
      </c>
      <c r="D34" s="43">
        <v>6555.9</v>
      </c>
      <c r="E34" s="41">
        <f>E35+E36+E37+E38</f>
        <v>1320.1</v>
      </c>
      <c r="F34" s="41">
        <f>F35+F36+F37+F38</f>
        <v>3041.4668999999999</v>
      </c>
      <c r="G34" s="34"/>
      <c r="H34" s="22">
        <f t="shared" si="0"/>
        <v>1721.3669</v>
      </c>
      <c r="I34" s="23">
        <f>F34/E34</f>
        <v>2.3039670479509127</v>
      </c>
      <c r="J34" s="23">
        <f>F34/D34</f>
        <v>0.46392820207751795</v>
      </c>
      <c r="K34" s="24">
        <f t="shared" si="1"/>
        <v>-3514.4330999999997</v>
      </c>
      <c r="L34" s="25"/>
      <c r="M34" s="12"/>
      <c r="N34" s="12"/>
    </row>
    <row r="35" spans="1:14" s="13" customFormat="1" ht="189.75" customHeight="1" x14ac:dyDescent="0.45">
      <c r="A35" s="38"/>
      <c r="B35" s="42">
        <v>13020100</v>
      </c>
      <c r="C35" s="36" t="s">
        <v>42</v>
      </c>
      <c r="D35" s="37">
        <v>6555.4</v>
      </c>
      <c r="E35" s="37">
        <v>1320</v>
      </c>
      <c r="F35" s="34">
        <f>6081.65194-3040.82603</f>
        <v>3040.8259099999996</v>
      </c>
      <c r="G35" s="34"/>
      <c r="H35" s="22">
        <f t="shared" si="0"/>
        <v>1720.8259099999996</v>
      </c>
      <c r="I35" s="23">
        <f>F35/E35</f>
        <v>2.3036559924242419</v>
      </c>
      <c r="J35" s="23">
        <f>F35/D35</f>
        <v>0.4638658068157549</v>
      </c>
      <c r="K35" s="24">
        <f t="shared" si="1"/>
        <v>-3514.5740900000001</v>
      </c>
      <c r="L35" s="25"/>
      <c r="M35" s="12"/>
      <c r="N35" s="12"/>
    </row>
    <row r="36" spans="1:14" s="13" customFormat="1" ht="120" customHeight="1" x14ac:dyDescent="0.45">
      <c r="A36" s="38"/>
      <c r="B36" s="42">
        <v>13020200</v>
      </c>
      <c r="C36" s="36" t="s">
        <v>43</v>
      </c>
      <c r="D36" s="37">
        <v>0.5</v>
      </c>
      <c r="E36" s="37">
        <v>0.1</v>
      </c>
      <c r="F36" s="34">
        <v>0</v>
      </c>
      <c r="G36" s="34"/>
      <c r="H36" s="22">
        <f t="shared" si="0"/>
        <v>-0.1</v>
      </c>
      <c r="I36" s="23">
        <f>F36/E36</f>
        <v>0</v>
      </c>
      <c r="J36" s="23">
        <f>F36/D36</f>
        <v>0</v>
      </c>
      <c r="K36" s="24">
        <f t="shared" si="1"/>
        <v>-0.5</v>
      </c>
      <c r="L36" s="25"/>
      <c r="M36" s="12"/>
      <c r="N36" s="12"/>
    </row>
    <row r="37" spans="1:14" s="13" customFormat="1" ht="193.5" customHeight="1" x14ac:dyDescent="0.45">
      <c r="A37" s="38"/>
      <c r="B37" s="42">
        <v>13020401</v>
      </c>
      <c r="C37" s="36" t="s">
        <v>44</v>
      </c>
      <c r="D37" s="37"/>
      <c r="E37" s="37">
        <v>0</v>
      </c>
      <c r="F37" s="34">
        <f>0.4404-0.2202</f>
        <v>0.22020000000000001</v>
      </c>
      <c r="G37" s="34"/>
      <c r="H37" s="22">
        <f t="shared" si="0"/>
        <v>0.22020000000000001</v>
      </c>
      <c r="I37" s="23">
        <v>0</v>
      </c>
      <c r="J37" s="23">
        <v>0</v>
      </c>
      <c r="K37" s="24">
        <f t="shared" si="1"/>
        <v>0.22020000000000001</v>
      </c>
      <c r="L37" s="25"/>
      <c r="M37" s="12"/>
      <c r="N37" s="12"/>
    </row>
    <row r="38" spans="1:14" s="13" customFormat="1" ht="185.25" customHeight="1" x14ac:dyDescent="0.45">
      <c r="A38" s="38"/>
      <c r="B38" s="42">
        <v>13020600</v>
      </c>
      <c r="C38" s="36" t="s">
        <v>45</v>
      </c>
      <c r="D38" s="37"/>
      <c r="E38" s="37">
        <v>0</v>
      </c>
      <c r="F38" s="34">
        <f>0.84158-0.42079</f>
        <v>0.42079</v>
      </c>
      <c r="G38" s="34"/>
      <c r="H38" s="22">
        <f t="shared" si="0"/>
        <v>0.42079</v>
      </c>
      <c r="I38" s="23">
        <v>0</v>
      </c>
      <c r="J38" s="23">
        <v>0</v>
      </c>
      <c r="K38" s="24">
        <f t="shared" si="1"/>
        <v>0.42079</v>
      </c>
      <c r="L38" s="25"/>
      <c r="M38" s="12"/>
      <c r="N38" s="12"/>
    </row>
    <row r="39" spans="1:14" s="13" customFormat="1" ht="84.75" customHeight="1" x14ac:dyDescent="0.45">
      <c r="A39" s="38"/>
      <c r="B39" s="39">
        <v>13030000</v>
      </c>
      <c r="C39" s="40" t="s">
        <v>46</v>
      </c>
      <c r="D39" s="32">
        <v>1070.8</v>
      </c>
      <c r="E39" s="33">
        <f>E41+E40</f>
        <v>511.1</v>
      </c>
      <c r="F39" s="33">
        <f>F41+F40</f>
        <v>26.909760000000002</v>
      </c>
      <c r="G39" s="34"/>
      <c r="H39" s="22">
        <f t="shared" si="0"/>
        <v>-484.19024000000002</v>
      </c>
      <c r="I39" s="23">
        <f>F39/E39</f>
        <v>5.2650675014674235E-2</v>
      </c>
      <c r="J39" s="23">
        <f>F39/D39</f>
        <v>2.5130519237952936E-2</v>
      </c>
      <c r="K39" s="24">
        <f t="shared" si="1"/>
        <v>-1043.8902399999999</v>
      </c>
      <c r="L39" s="25"/>
      <c r="M39" s="12"/>
      <c r="N39" s="12"/>
    </row>
    <row r="40" spans="1:14" s="13" customFormat="1" ht="184.5" x14ac:dyDescent="0.45">
      <c r="A40" s="38"/>
      <c r="B40" s="42">
        <v>13030100</v>
      </c>
      <c r="C40" s="36" t="s">
        <v>47</v>
      </c>
      <c r="D40" s="37">
        <v>165.8</v>
      </c>
      <c r="E40" s="37">
        <v>21.1</v>
      </c>
      <c r="F40" s="34">
        <f>103.79006-77.84252</f>
        <v>25.947540000000004</v>
      </c>
      <c r="G40" s="34"/>
      <c r="H40" s="22">
        <f t="shared" si="0"/>
        <v>4.8475400000000022</v>
      </c>
      <c r="I40" s="23">
        <f>F40/E40</f>
        <v>1.2297412322274883</v>
      </c>
      <c r="J40" s="23">
        <f>F40/D40</f>
        <v>0.15649903498190593</v>
      </c>
      <c r="K40" s="24">
        <f t="shared" si="1"/>
        <v>-139.85246000000001</v>
      </c>
      <c r="L40" s="25"/>
      <c r="M40" s="12"/>
      <c r="N40" s="12"/>
    </row>
    <row r="41" spans="1:14" s="13" customFormat="1" ht="156" customHeight="1" x14ac:dyDescent="0.45">
      <c r="A41" s="38"/>
      <c r="B41" s="42">
        <v>13030200</v>
      </c>
      <c r="C41" s="36" t="s">
        <v>48</v>
      </c>
      <c r="D41" s="37">
        <v>905</v>
      </c>
      <c r="E41" s="37">
        <v>490</v>
      </c>
      <c r="F41" s="34">
        <v>0.96221999999999996</v>
      </c>
      <c r="G41" s="34"/>
      <c r="H41" s="22">
        <f t="shared" si="0"/>
        <v>-489.03778</v>
      </c>
      <c r="I41" s="23">
        <f>F41/E41</f>
        <v>1.9637142857142856E-3</v>
      </c>
      <c r="J41" s="23">
        <f>F41/D41</f>
        <v>1.0632265193370165E-3</v>
      </c>
      <c r="K41" s="24">
        <f t="shared" si="1"/>
        <v>-904.03778</v>
      </c>
      <c r="L41" s="25"/>
      <c r="M41" s="12"/>
      <c r="N41" s="12"/>
    </row>
    <row r="42" spans="1:14" s="13" customFormat="1" ht="123.75" customHeight="1" x14ac:dyDescent="0.45">
      <c r="A42" s="38"/>
      <c r="B42" s="30">
        <v>13070000</v>
      </c>
      <c r="C42" s="31" t="s">
        <v>49</v>
      </c>
      <c r="D42" s="37">
        <v>0.2</v>
      </c>
      <c r="E42" s="41">
        <f>E43</f>
        <v>0.1</v>
      </c>
      <c r="F42" s="41">
        <f>F43</f>
        <v>0.28211000000000003</v>
      </c>
      <c r="G42" s="34"/>
      <c r="H42" s="22">
        <f t="shared" si="0"/>
        <v>0.18211000000000002</v>
      </c>
      <c r="I42" s="23">
        <f>F42/E42</f>
        <v>2.8210999999999999</v>
      </c>
      <c r="J42" s="23">
        <f>F42/D42</f>
        <v>1.41055</v>
      </c>
      <c r="K42" s="24">
        <f t="shared" si="1"/>
        <v>8.2110000000000016E-2</v>
      </c>
      <c r="L42" s="25"/>
      <c r="M42" s="12"/>
      <c r="N42" s="12"/>
    </row>
    <row r="43" spans="1:14" s="13" customFormat="1" ht="121.5" customHeight="1" x14ac:dyDescent="0.45">
      <c r="A43" s="38"/>
      <c r="B43" s="42">
        <v>13070200</v>
      </c>
      <c r="C43" s="36" t="s">
        <v>50</v>
      </c>
      <c r="D43" s="37"/>
      <c r="E43" s="37">
        <v>0.1</v>
      </c>
      <c r="F43" s="34">
        <v>0.28211000000000003</v>
      </c>
      <c r="G43" s="34"/>
      <c r="H43" s="22">
        <f t="shared" si="0"/>
        <v>0.18211000000000002</v>
      </c>
      <c r="I43" s="23">
        <f>F43/E43</f>
        <v>2.8210999999999999</v>
      </c>
      <c r="J43" s="23">
        <v>0</v>
      </c>
      <c r="K43" s="24">
        <f t="shared" si="1"/>
        <v>0.28211000000000003</v>
      </c>
      <c r="L43" s="25"/>
      <c r="M43" s="12"/>
      <c r="N43" s="12"/>
    </row>
    <row r="44" spans="1:14" s="13" customFormat="1" ht="87.75" customHeight="1" x14ac:dyDescent="0.45">
      <c r="A44" s="38"/>
      <c r="B44" s="39">
        <v>14000000</v>
      </c>
      <c r="C44" s="40" t="s">
        <v>51</v>
      </c>
      <c r="D44" s="32"/>
      <c r="E44" s="33">
        <f>E45</f>
        <v>0</v>
      </c>
      <c r="F44" s="33">
        <f>F45</f>
        <v>20160.965929999998</v>
      </c>
      <c r="G44" s="34"/>
      <c r="H44" s="22">
        <f t="shared" si="0"/>
        <v>20160.965929999998</v>
      </c>
      <c r="I44" s="23">
        <v>0</v>
      </c>
      <c r="J44" s="23">
        <v>0</v>
      </c>
      <c r="K44" s="24">
        <f t="shared" si="1"/>
        <v>20160.965929999998</v>
      </c>
      <c r="L44" s="25"/>
      <c r="M44" s="12"/>
      <c r="N44" s="12"/>
    </row>
    <row r="45" spans="1:14" s="13" customFormat="1" ht="177" customHeight="1" x14ac:dyDescent="0.45">
      <c r="A45" s="38"/>
      <c r="B45" s="42">
        <v>14040001</v>
      </c>
      <c r="C45" s="36" t="s">
        <v>52</v>
      </c>
      <c r="D45" s="37"/>
      <c r="E45" s="37">
        <v>0</v>
      </c>
      <c r="F45" s="34">
        <v>20160.965929999998</v>
      </c>
      <c r="G45" s="34"/>
      <c r="H45" s="22">
        <f t="shared" si="0"/>
        <v>20160.965929999998</v>
      </c>
      <c r="I45" s="23">
        <v>0</v>
      </c>
      <c r="J45" s="23">
        <v>0</v>
      </c>
      <c r="K45" s="24">
        <f t="shared" si="1"/>
        <v>20160.965929999998</v>
      </c>
      <c r="L45" s="25"/>
      <c r="M45" s="12"/>
      <c r="N45" s="12"/>
    </row>
    <row r="46" spans="1:14" s="13" customFormat="1" ht="121.5" x14ac:dyDescent="0.45">
      <c r="A46" s="38"/>
      <c r="B46" s="39">
        <v>16000000</v>
      </c>
      <c r="C46" s="40" t="s">
        <v>53</v>
      </c>
      <c r="D46" s="32"/>
      <c r="E46" s="33">
        <f>E48</f>
        <v>0</v>
      </c>
      <c r="F46" s="33">
        <f>F48</f>
        <v>9.0749999999999997E-2</v>
      </c>
      <c r="G46" s="34"/>
      <c r="H46" s="22">
        <f t="shared" si="0"/>
        <v>9.0749999999999997E-2</v>
      </c>
      <c r="I46" s="23">
        <v>0</v>
      </c>
      <c r="J46" s="23">
        <v>0</v>
      </c>
      <c r="K46" s="24">
        <f t="shared" si="1"/>
        <v>9.0749999999999997E-2</v>
      </c>
      <c r="L46" s="25"/>
      <c r="M46" s="12"/>
      <c r="N46" s="12"/>
    </row>
    <row r="47" spans="1:14" s="13" customFormat="1" ht="121.5" x14ac:dyDescent="0.45">
      <c r="A47" s="38"/>
      <c r="B47" s="39">
        <v>16010000</v>
      </c>
      <c r="C47" s="40" t="s">
        <v>54</v>
      </c>
      <c r="D47" s="32"/>
      <c r="E47" s="33">
        <f>E48</f>
        <v>0</v>
      </c>
      <c r="F47" s="33">
        <f>F48</f>
        <v>9.0749999999999997E-2</v>
      </c>
      <c r="G47" s="34"/>
      <c r="H47" s="22">
        <f t="shared" si="0"/>
        <v>9.0749999999999997E-2</v>
      </c>
      <c r="I47" s="23">
        <v>0</v>
      </c>
      <c r="J47" s="23">
        <v>0</v>
      </c>
      <c r="K47" s="24">
        <f t="shared" si="1"/>
        <v>9.0749999999999997E-2</v>
      </c>
      <c r="L47" s="25"/>
      <c r="M47" s="12"/>
      <c r="N47" s="12"/>
    </row>
    <row r="48" spans="1:14" s="13" customFormat="1" ht="56.25" customHeight="1" x14ac:dyDescent="0.45">
      <c r="A48" s="38"/>
      <c r="B48" s="42">
        <v>16010200</v>
      </c>
      <c r="C48" s="36" t="s">
        <v>55</v>
      </c>
      <c r="D48" s="37">
        <v>0</v>
      </c>
      <c r="E48" s="37">
        <v>0</v>
      </c>
      <c r="F48" s="34">
        <v>9.0749999999999997E-2</v>
      </c>
      <c r="G48" s="34"/>
      <c r="H48" s="22">
        <f t="shared" si="0"/>
        <v>9.0749999999999997E-2</v>
      </c>
      <c r="I48" s="23">
        <v>0</v>
      </c>
      <c r="J48" s="23">
        <v>0</v>
      </c>
      <c r="K48" s="24">
        <f t="shared" si="1"/>
        <v>9.0749999999999997E-2</v>
      </c>
      <c r="L48" s="25"/>
      <c r="M48" s="12"/>
      <c r="N48" s="12"/>
    </row>
    <row r="49" spans="1:14" s="13" customFormat="1" ht="61.5" x14ac:dyDescent="0.45">
      <c r="A49" s="38"/>
      <c r="B49" s="39">
        <v>18000000</v>
      </c>
      <c r="C49" s="40" t="s">
        <v>56</v>
      </c>
      <c r="D49" s="32">
        <v>365617</v>
      </c>
      <c r="E49" s="33">
        <f>E50+E62+E63+E66+E76</f>
        <v>85871.3</v>
      </c>
      <c r="F49" s="33">
        <f>F50+F62+F63+F66+F76</f>
        <v>131441.56708999997</v>
      </c>
      <c r="G49" s="34"/>
      <c r="H49" s="22">
        <f t="shared" si="0"/>
        <v>45570.267089999965</v>
      </c>
      <c r="I49" s="23">
        <f>F49/E49</f>
        <v>1.5306809969104924</v>
      </c>
      <c r="J49" s="23">
        <f>F49/D49</f>
        <v>0.35950616927002838</v>
      </c>
      <c r="K49" s="24">
        <f t="shared" si="1"/>
        <v>-234175.43291000003</v>
      </c>
      <c r="L49" s="25"/>
      <c r="M49" s="12"/>
      <c r="N49" s="12"/>
    </row>
    <row r="50" spans="1:14" s="13" customFormat="1" ht="54.75" customHeight="1" x14ac:dyDescent="0.45">
      <c r="A50" s="38"/>
      <c r="B50" s="30">
        <v>18010000</v>
      </c>
      <c r="C50" s="31" t="s">
        <v>57</v>
      </c>
      <c r="D50" s="37">
        <v>360978.2</v>
      </c>
      <c r="E50" s="34">
        <f>E51+E52+E53+E54+E55+E56+E57+E58+E60+E59</f>
        <v>85300</v>
      </c>
      <c r="F50" s="34">
        <f>F51+F52+F53+F54+F55+F56+F57+F58+F60+F59</f>
        <v>85692.099999999977</v>
      </c>
      <c r="G50" s="34"/>
      <c r="H50" s="22">
        <f t="shared" si="0"/>
        <v>392.09999999997672</v>
      </c>
      <c r="I50" s="23">
        <f>F50/E50</f>
        <v>1.0045967174677606</v>
      </c>
      <c r="J50" s="23">
        <f>F50/D50</f>
        <v>0.23738857360361365</v>
      </c>
      <c r="K50" s="24">
        <f t="shared" si="1"/>
        <v>-275286.10000000003</v>
      </c>
      <c r="L50" s="25"/>
      <c r="M50" s="12"/>
      <c r="N50" s="12"/>
    </row>
    <row r="51" spans="1:14" s="13" customFormat="1" ht="177.75" customHeight="1" x14ac:dyDescent="0.45">
      <c r="A51" s="38"/>
      <c r="B51" s="42">
        <v>18010100</v>
      </c>
      <c r="C51" s="36" t="s">
        <v>58</v>
      </c>
      <c r="D51" s="37">
        <v>0</v>
      </c>
      <c r="E51" s="37">
        <v>0</v>
      </c>
      <c r="F51" s="34">
        <v>478.96749</v>
      </c>
      <c r="G51" s="34"/>
      <c r="H51" s="22">
        <f t="shared" si="0"/>
        <v>478.96749</v>
      </c>
      <c r="I51" s="23">
        <v>0</v>
      </c>
      <c r="J51" s="23">
        <v>0</v>
      </c>
      <c r="K51" s="24">
        <f t="shared" si="1"/>
        <v>478.96749</v>
      </c>
      <c r="L51" s="25"/>
      <c r="M51" s="12"/>
      <c r="N51" s="12"/>
    </row>
    <row r="52" spans="1:14" s="13" customFormat="1" ht="207" customHeight="1" x14ac:dyDescent="0.45">
      <c r="A52" s="38"/>
      <c r="B52" s="42">
        <v>18010200</v>
      </c>
      <c r="C52" s="36" t="s">
        <v>59</v>
      </c>
      <c r="D52" s="37">
        <v>0</v>
      </c>
      <c r="E52" s="37">
        <v>0</v>
      </c>
      <c r="F52" s="34">
        <v>-0.40444000000000002</v>
      </c>
      <c r="G52" s="34"/>
      <c r="H52" s="22">
        <f t="shared" si="0"/>
        <v>-0.40444000000000002</v>
      </c>
      <c r="I52" s="23">
        <v>0</v>
      </c>
      <c r="J52" s="23">
        <v>0</v>
      </c>
      <c r="K52" s="24">
        <f t="shared" si="1"/>
        <v>-0.40444000000000002</v>
      </c>
      <c r="L52" s="25"/>
      <c r="M52" s="12"/>
      <c r="N52" s="12"/>
    </row>
    <row r="53" spans="1:14" s="13" customFormat="1" ht="182.25" customHeight="1" x14ac:dyDescent="0.45">
      <c r="A53" s="38"/>
      <c r="B53" s="42">
        <v>18010300</v>
      </c>
      <c r="C53" s="36" t="s">
        <v>60</v>
      </c>
      <c r="D53" s="37">
        <v>0</v>
      </c>
      <c r="E53" s="37">
        <v>0</v>
      </c>
      <c r="F53" s="34">
        <v>10.73521</v>
      </c>
      <c r="G53" s="34"/>
      <c r="H53" s="22">
        <f t="shared" si="0"/>
        <v>10.73521</v>
      </c>
      <c r="I53" s="23">
        <v>0</v>
      </c>
      <c r="J53" s="23">
        <v>0</v>
      </c>
      <c r="K53" s="24">
        <f t="shared" si="1"/>
        <v>10.73521</v>
      </c>
      <c r="L53" s="25"/>
      <c r="M53" s="12"/>
      <c r="N53" s="12"/>
    </row>
    <row r="54" spans="1:14" s="13" customFormat="1" ht="192.75" customHeight="1" x14ac:dyDescent="0.45">
      <c r="A54" s="38"/>
      <c r="B54" s="42">
        <v>18010400</v>
      </c>
      <c r="C54" s="36" t="s">
        <v>58</v>
      </c>
      <c r="D54" s="37">
        <v>0</v>
      </c>
      <c r="E54" s="37">
        <v>0</v>
      </c>
      <c r="F54" s="34">
        <v>1205.692</v>
      </c>
      <c r="G54" s="34"/>
      <c r="H54" s="22">
        <f t="shared" si="0"/>
        <v>1205.692</v>
      </c>
      <c r="I54" s="23">
        <v>0</v>
      </c>
      <c r="J54" s="23">
        <v>0</v>
      </c>
      <c r="K54" s="24">
        <f t="shared" si="1"/>
        <v>1205.692</v>
      </c>
      <c r="L54" s="25"/>
      <c r="M54" s="12"/>
      <c r="N54" s="12"/>
    </row>
    <row r="55" spans="1:14" s="13" customFormat="1" ht="85.5" customHeight="1" x14ac:dyDescent="0.45">
      <c r="A55" s="38"/>
      <c r="B55" s="42">
        <v>18010500</v>
      </c>
      <c r="C55" s="36" t="s">
        <v>61</v>
      </c>
      <c r="D55" s="37">
        <v>115874</v>
      </c>
      <c r="E55" s="37">
        <v>25490</v>
      </c>
      <c r="F55" s="34">
        <v>25572.80386</v>
      </c>
      <c r="G55" s="34"/>
      <c r="H55" s="22">
        <f t="shared" si="0"/>
        <v>82.803859999999986</v>
      </c>
      <c r="I55" s="23">
        <f>F55/E55</f>
        <v>1.0032484841114162</v>
      </c>
      <c r="J55" s="23">
        <f>F55/D55</f>
        <v>0.22069492604035418</v>
      </c>
      <c r="K55" s="24">
        <f t="shared" si="1"/>
        <v>-90301.19614</v>
      </c>
      <c r="L55" s="25"/>
      <c r="M55" s="12"/>
      <c r="N55" s="12"/>
    </row>
    <row r="56" spans="1:14" s="13" customFormat="1" ht="86.25" customHeight="1" x14ac:dyDescent="0.45">
      <c r="A56" s="38"/>
      <c r="B56" s="42">
        <v>18010600</v>
      </c>
      <c r="C56" s="36" t="s">
        <v>62</v>
      </c>
      <c r="D56" s="37">
        <v>234996.8</v>
      </c>
      <c r="E56" s="37">
        <v>58610</v>
      </c>
      <c r="F56" s="34">
        <v>56824.306259999998</v>
      </c>
      <c r="G56" s="34"/>
      <c r="H56" s="22">
        <f t="shared" si="0"/>
        <v>-1785.6937400000024</v>
      </c>
      <c r="I56" s="23">
        <f>F56/E56</f>
        <v>0.96953260979355049</v>
      </c>
      <c r="J56" s="23">
        <f>F56/D56</f>
        <v>0.24180885126946411</v>
      </c>
      <c r="K56" s="24">
        <f t="shared" si="1"/>
        <v>-178172.49374000001</v>
      </c>
      <c r="L56" s="25"/>
      <c r="M56" s="12"/>
      <c r="N56" s="12"/>
    </row>
    <row r="57" spans="1:14" s="13" customFormat="1" ht="81.75" customHeight="1" x14ac:dyDescent="0.45">
      <c r="A57" s="38"/>
      <c r="B57" s="42">
        <v>18010700</v>
      </c>
      <c r="C57" s="36" t="s">
        <v>63</v>
      </c>
      <c r="D57" s="37">
        <v>6136.6</v>
      </c>
      <c r="E57" s="37">
        <v>700</v>
      </c>
      <c r="F57" s="34">
        <v>742.93985999999995</v>
      </c>
      <c r="G57" s="34"/>
      <c r="H57" s="22">
        <f t="shared" si="0"/>
        <v>42.939859999999953</v>
      </c>
      <c r="I57" s="23">
        <f>F57/E57</f>
        <v>1.061342657142857</v>
      </c>
      <c r="J57" s="23">
        <f>F57/D57</f>
        <v>0.12106701756673074</v>
      </c>
      <c r="K57" s="24">
        <f t="shared" si="1"/>
        <v>-5393.66014</v>
      </c>
      <c r="L57" s="25"/>
      <c r="M57" s="12"/>
      <c r="N57" s="12"/>
    </row>
    <row r="58" spans="1:14" s="13" customFormat="1" ht="78.75" customHeight="1" x14ac:dyDescent="0.45">
      <c r="A58" s="38"/>
      <c r="B58" s="42">
        <v>18010900</v>
      </c>
      <c r="C58" s="36" t="s">
        <v>64</v>
      </c>
      <c r="D58" s="37">
        <v>3970.8</v>
      </c>
      <c r="E58" s="37">
        <v>500</v>
      </c>
      <c r="F58" s="34">
        <v>366.74194999999997</v>
      </c>
      <c r="G58" s="34"/>
      <c r="H58" s="22">
        <f t="shared" si="0"/>
        <v>-133.25805000000003</v>
      </c>
      <c r="I58" s="23">
        <f>F58/E58</f>
        <v>0.73348389999999997</v>
      </c>
      <c r="J58" s="23">
        <f>F58/D58</f>
        <v>9.2359713407877492E-2</v>
      </c>
      <c r="K58" s="24">
        <f t="shared" si="1"/>
        <v>-3604.0580500000001</v>
      </c>
      <c r="L58" s="25"/>
      <c r="M58" s="12"/>
      <c r="N58" s="12"/>
    </row>
    <row r="59" spans="1:14" s="13" customFormat="1" ht="81.75" customHeight="1" x14ac:dyDescent="0.45">
      <c r="A59" s="38"/>
      <c r="B59" s="42">
        <v>18011000</v>
      </c>
      <c r="C59" s="36" t="s">
        <v>65</v>
      </c>
      <c r="D59" s="37">
        <v>0</v>
      </c>
      <c r="E59" s="37">
        <v>0</v>
      </c>
      <c r="F59" s="34">
        <v>0</v>
      </c>
      <c r="G59" s="34"/>
      <c r="H59" s="22">
        <f t="shared" si="0"/>
        <v>0</v>
      </c>
      <c r="I59" s="23">
        <v>0</v>
      </c>
      <c r="J59" s="23">
        <v>0</v>
      </c>
      <c r="K59" s="24">
        <f t="shared" si="1"/>
        <v>0</v>
      </c>
      <c r="L59" s="25"/>
      <c r="M59" s="12"/>
      <c r="N59" s="12"/>
    </row>
    <row r="60" spans="1:14" s="13" customFormat="1" ht="78.75" customHeight="1" x14ac:dyDescent="0.45">
      <c r="A60" s="38"/>
      <c r="B60" s="42">
        <v>18011101</v>
      </c>
      <c r="C60" s="36" t="s">
        <v>66</v>
      </c>
      <c r="D60" s="37">
        <v>0</v>
      </c>
      <c r="E60" s="37">
        <v>0</v>
      </c>
      <c r="F60" s="34">
        <v>490.31781000000001</v>
      </c>
      <c r="G60" s="34"/>
      <c r="H60" s="22">
        <f t="shared" si="0"/>
        <v>490.31781000000001</v>
      </c>
      <c r="I60" s="23">
        <v>0</v>
      </c>
      <c r="J60" s="23">
        <v>0</v>
      </c>
      <c r="K60" s="24">
        <f t="shared" si="1"/>
        <v>490.31781000000001</v>
      </c>
      <c r="L60" s="25"/>
      <c r="M60" s="12"/>
      <c r="N60" s="12"/>
    </row>
    <row r="61" spans="1:14" s="13" customFormat="1" ht="78.75" customHeight="1" x14ac:dyDescent="0.45">
      <c r="A61" s="38"/>
      <c r="B61" s="39">
        <v>18020000</v>
      </c>
      <c r="C61" s="40"/>
      <c r="D61" s="32">
        <v>4098.6000000000004</v>
      </c>
      <c r="E61" s="33">
        <f>E62</f>
        <v>470</v>
      </c>
      <c r="F61" s="33">
        <f>F62</f>
        <v>432.36926999999997</v>
      </c>
      <c r="G61" s="33"/>
      <c r="H61" s="22">
        <f t="shared" si="0"/>
        <v>-37.630730000000028</v>
      </c>
      <c r="I61" s="23">
        <f>F61/E61</f>
        <v>0.91993461702127655</v>
      </c>
      <c r="J61" s="23">
        <f>F61/D61</f>
        <v>0.10549194115063679</v>
      </c>
      <c r="K61" s="24">
        <f t="shared" si="1"/>
        <v>-3666.2307300000002</v>
      </c>
      <c r="L61" s="25"/>
      <c r="M61" s="12"/>
      <c r="N61" s="12"/>
    </row>
    <row r="62" spans="1:14" s="13" customFormat="1" ht="99" customHeight="1" x14ac:dyDescent="0.45">
      <c r="A62" s="38"/>
      <c r="B62" s="42">
        <v>18020100</v>
      </c>
      <c r="C62" s="36" t="s">
        <v>67</v>
      </c>
      <c r="D62" s="37">
        <v>4098.6000000000004</v>
      </c>
      <c r="E62" s="37">
        <v>470</v>
      </c>
      <c r="F62" s="34">
        <v>432.36926999999997</v>
      </c>
      <c r="G62" s="34"/>
      <c r="H62" s="22">
        <f t="shared" si="0"/>
        <v>-37.630730000000028</v>
      </c>
      <c r="I62" s="23">
        <f>F62/E62</f>
        <v>0.91993461702127655</v>
      </c>
      <c r="J62" s="23">
        <f>F62/D62</f>
        <v>0.10549194115063679</v>
      </c>
      <c r="K62" s="24">
        <f t="shared" si="1"/>
        <v>-3666.2307300000002</v>
      </c>
      <c r="L62" s="25"/>
      <c r="M62" s="12"/>
      <c r="N62" s="12"/>
    </row>
    <row r="63" spans="1:14" s="13" customFormat="1" ht="61.5" x14ac:dyDescent="0.45">
      <c r="A63" s="38"/>
      <c r="B63" s="30">
        <v>18030000</v>
      </c>
      <c r="C63" s="31" t="s">
        <v>68</v>
      </c>
      <c r="D63" s="32">
        <v>540.20000000000005</v>
      </c>
      <c r="E63" s="33">
        <f>E64+E65</f>
        <v>101.3</v>
      </c>
      <c r="F63" s="33">
        <f>F64+F65</f>
        <v>146.79809</v>
      </c>
      <c r="G63" s="34"/>
      <c r="H63" s="22">
        <f t="shared" si="0"/>
        <v>45.498090000000005</v>
      </c>
      <c r="I63" s="23">
        <f>F63/E63</f>
        <v>1.449142053307009</v>
      </c>
      <c r="J63" s="23">
        <f>F63/D63</f>
        <v>0.27174766753054425</v>
      </c>
      <c r="K63" s="24">
        <f t="shared" si="1"/>
        <v>-393.40191000000004</v>
      </c>
      <c r="L63" s="25"/>
      <c r="M63" s="12"/>
      <c r="N63" s="12"/>
    </row>
    <row r="64" spans="1:14" s="13" customFormat="1" ht="114" customHeight="1" x14ac:dyDescent="0.45">
      <c r="A64" s="38"/>
      <c r="B64" s="42">
        <v>18030100</v>
      </c>
      <c r="C64" s="36" t="s">
        <v>69</v>
      </c>
      <c r="D64" s="37">
        <v>515.4</v>
      </c>
      <c r="E64" s="37">
        <v>93</v>
      </c>
      <c r="F64" s="34">
        <v>128.87223</v>
      </c>
      <c r="G64" s="34"/>
      <c r="H64" s="22">
        <f t="shared" si="0"/>
        <v>35.872230000000002</v>
      </c>
      <c r="I64" s="23">
        <f>F64/E64</f>
        <v>1.3857229032258065</v>
      </c>
      <c r="J64" s="23">
        <f>F64/D64</f>
        <v>0.25004313154831198</v>
      </c>
      <c r="K64" s="24">
        <f t="shared" si="1"/>
        <v>-386.52776999999998</v>
      </c>
      <c r="L64" s="25"/>
      <c r="M64" s="12"/>
      <c r="N64" s="12"/>
    </row>
    <row r="65" spans="1:14" s="13" customFormat="1" ht="114" customHeight="1" x14ac:dyDescent="0.45">
      <c r="A65" s="38"/>
      <c r="B65" s="42">
        <v>18030200</v>
      </c>
      <c r="C65" s="36" t="s">
        <v>70</v>
      </c>
      <c r="D65" s="37">
        <v>24.8</v>
      </c>
      <c r="E65" s="37">
        <v>8.3000000000000007</v>
      </c>
      <c r="F65" s="34">
        <v>17.92586</v>
      </c>
      <c r="G65" s="34"/>
      <c r="H65" s="22">
        <f t="shared" si="0"/>
        <v>9.6258599999999994</v>
      </c>
      <c r="I65" s="23">
        <f>F65/E65</f>
        <v>2.1597421686746987</v>
      </c>
      <c r="J65" s="23">
        <f>F65/D65</f>
        <v>0.72281693548387094</v>
      </c>
      <c r="K65" s="24">
        <f t="shared" si="1"/>
        <v>-6.8741400000000006</v>
      </c>
      <c r="L65" s="25"/>
      <c r="M65" s="12"/>
      <c r="N65" s="12"/>
    </row>
    <row r="66" spans="1:14" s="13" customFormat="1" ht="174" customHeight="1" x14ac:dyDescent="0.45">
      <c r="A66" s="38"/>
      <c r="B66" s="30">
        <v>18040000</v>
      </c>
      <c r="C66" s="31" t="s">
        <v>71</v>
      </c>
      <c r="D66" s="32"/>
      <c r="E66" s="33">
        <f>E67+E68+E69+E70+E71+E72+E73+E74+E75</f>
        <v>0</v>
      </c>
      <c r="F66" s="33">
        <f>F67+F68+F69+F70+F71+F72+F73+F74+F75</f>
        <v>91.380640000000014</v>
      </c>
      <c r="G66" s="34"/>
      <c r="H66" s="22">
        <f t="shared" si="0"/>
        <v>91.380640000000014</v>
      </c>
      <c r="I66" s="23">
        <v>0</v>
      </c>
      <c r="J66" s="23">
        <v>0</v>
      </c>
      <c r="K66" s="24">
        <f t="shared" si="1"/>
        <v>91.380640000000014</v>
      </c>
      <c r="L66" s="25"/>
      <c r="M66" s="12"/>
      <c r="N66" s="12"/>
    </row>
    <row r="67" spans="1:14" s="13" customFormat="1" ht="187.5" customHeight="1" x14ac:dyDescent="0.45">
      <c r="A67" s="38"/>
      <c r="B67" s="35">
        <v>18040100</v>
      </c>
      <c r="C67" s="36" t="s">
        <v>72</v>
      </c>
      <c r="D67" s="37"/>
      <c r="E67" s="37">
        <v>0</v>
      </c>
      <c r="F67" s="34">
        <v>-0.27239000000000002</v>
      </c>
      <c r="G67" s="34"/>
      <c r="H67" s="22">
        <f t="shared" si="0"/>
        <v>-0.27239000000000002</v>
      </c>
      <c r="I67" s="23">
        <v>0</v>
      </c>
      <c r="J67" s="23">
        <v>0</v>
      </c>
      <c r="K67" s="24">
        <f t="shared" si="1"/>
        <v>-0.27239000000000002</v>
      </c>
      <c r="L67" s="25"/>
      <c r="M67" s="12"/>
      <c r="N67" s="12"/>
    </row>
    <row r="68" spans="1:14" s="13" customFormat="1" ht="195" customHeight="1" x14ac:dyDescent="0.45">
      <c r="A68" s="38"/>
      <c r="B68" s="35">
        <v>18040200</v>
      </c>
      <c r="C68" s="36" t="s">
        <v>73</v>
      </c>
      <c r="D68" s="37"/>
      <c r="E68" s="37">
        <v>0</v>
      </c>
      <c r="F68" s="34">
        <v>56.918709999999997</v>
      </c>
      <c r="G68" s="34"/>
      <c r="H68" s="22">
        <f t="shared" si="0"/>
        <v>56.918709999999997</v>
      </c>
      <c r="I68" s="23">
        <v>0</v>
      </c>
      <c r="J68" s="23">
        <v>0</v>
      </c>
      <c r="K68" s="24">
        <f t="shared" si="1"/>
        <v>56.918709999999997</v>
      </c>
      <c r="L68" s="25"/>
      <c r="M68" s="12"/>
      <c r="N68" s="12"/>
    </row>
    <row r="69" spans="1:14" s="13" customFormat="1" ht="194.25" customHeight="1" x14ac:dyDescent="0.45">
      <c r="A69" s="38"/>
      <c r="B69" s="35">
        <v>18040500</v>
      </c>
      <c r="C69" s="36" t="s">
        <v>74</v>
      </c>
      <c r="D69" s="37"/>
      <c r="E69" s="37">
        <v>0</v>
      </c>
      <c r="F69" s="34">
        <v>0.48699999999999999</v>
      </c>
      <c r="G69" s="34"/>
      <c r="H69" s="22">
        <f t="shared" si="0"/>
        <v>0.48699999999999999</v>
      </c>
      <c r="I69" s="23">
        <v>0</v>
      </c>
      <c r="J69" s="23">
        <v>0</v>
      </c>
      <c r="K69" s="24">
        <f t="shared" si="1"/>
        <v>0.48699999999999999</v>
      </c>
      <c r="L69" s="25"/>
      <c r="M69" s="12"/>
      <c r="N69" s="12"/>
    </row>
    <row r="70" spans="1:14" s="13" customFormat="1" ht="201.75" customHeight="1" x14ac:dyDescent="0.45">
      <c r="A70" s="38"/>
      <c r="B70" s="35">
        <v>18040600</v>
      </c>
      <c r="C70" s="36" t="s">
        <v>75</v>
      </c>
      <c r="D70" s="37"/>
      <c r="E70" s="37">
        <v>0</v>
      </c>
      <c r="F70" s="34">
        <v>9.6054499999999994</v>
      </c>
      <c r="G70" s="34"/>
      <c r="H70" s="22">
        <f t="shared" si="0"/>
        <v>9.6054499999999994</v>
      </c>
      <c r="I70" s="23">
        <v>0</v>
      </c>
      <c r="J70" s="23">
        <v>0</v>
      </c>
      <c r="K70" s="24">
        <f t="shared" si="1"/>
        <v>9.6054499999999994</v>
      </c>
      <c r="L70" s="25"/>
      <c r="M70" s="12"/>
      <c r="N70" s="12"/>
    </row>
    <row r="71" spans="1:14" s="13" customFormat="1" ht="186.75" customHeight="1" x14ac:dyDescent="0.45">
      <c r="A71" s="38"/>
      <c r="B71" s="35">
        <v>18040700</v>
      </c>
      <c r="C71" s="36" t="s">
        <v>76</v>
      </c>
      <c r="D71" s="37"/>
      <c r="E71" s="37">
        <v>0</v>
      </c>
      <c r="F71" s="34">
        <v>-2.1677399999999998</v>
      </c>
      <c r="G71" s="34"/>
      <c r="H71" s="22">
        <f t="shared" si="0"/>
        <v>-2.1677399999999998</v>
      </c>
      <c r="I71" s="23">
        <v>0</v>
      </c>
      <c r="J71" s="23">
        <v>0</v>
      </c>
      <c r="K71" s="24">
        <f t="shared" si="1"/>
        <v>-2.1677399999999998</v>
      </c>
      <c r="L71" s="25"/>
      <c r="M71" s="12"/>
      <c r="N71" s="12"/>
    </row>
    <row r="72" spans="1:14" s="13" customFormat="1" ht="240" customHeight="1" x14ac:dyDescent="0.45">
      <c r="A72" s="38"/>
      <c r="B72" s="42">
        <v>18040800</v>
      </c>
      <c r="C72" s="36" t="s">
        <v>77</v>
      </c>
      <c r="D72" s="37"/>
      <c r="E72" s="37">
        <v>0</v>
      </c>
      <c r="F72" s="34">
        <v>24.15981</v>
      </c>
      <c r="G72" s="34"/>
      <c r="H72" s="22">
        <f t="shared" ref="H72:H119" si="2">F72-E72</f>
        <v>24.15981</v>
      </c>
      <c r="I72" s="23">
        <v>0</v>
      </c>
      <c r="J72" s="23">
        <v>0</v>
      </c>
      <c r="K72" s="24">
        <f t="shared" ref="K72:K120" si="3">F72-D72</f>
        <v>24.15981</v>
      </c>
      <c r="L72" s="25"/>
      <c r="M72" s="12"/>
      <c r="N72" s="12"/>
    </row>
    <row r="73" spans="1:14" s="13" customFormat="1" ht="189.75" customHeight="1" x14ac:dyDescent="0.45">
      <c r="A73" s="38"/>
      <c r="B73" s="42">
        <v>18040900</v>
      </c>
      <c r="C73" s="36" t="s">
        <v>78</v>
      </c>
      <c r="D73" s="37"/>
      <c r="E73" s="37">
        <v>0</v>
      </c>
      <c r="F73" s="34">
        <v>6.0999999999999999E-2</v>
      </c>
      <c r="G73" s="34"/>
      <c r="H73" s="22">
        <f t="shared" si="2"/>
        <v>6.0999999999999999E-2</v>
      </c>
      <c r="I73" s="23">
        <v>0</v>
      </c>
      <c r="J73" s="23">
        <v>0</v>
      </c>
      <c r="K73" s="24">
        <f t="shared" si="3"/>
        <v>6.0999999999999999E-2</v>
      </c>
      <c r="L73" s="25"/>
      <c r="M73" s="12"/>
      <c r="N73" s="12"/>
    </row>
    <row r="74" spans="1:14" s="13" customFormat="1" ht="175.5" customHeight="1" x14ac:dyDescent="0.45">
      <c r="A74" s="38"/>
      <c r="B74" s="42">
        <v>18041400</v>
      </c>
      <c r="C74" s="36" t="s">
        <v>79</v>
      </c>
      <c r="D74" s="37"/>
      <c r="E74" s="37">
        <v>0</v>
      </c>
      <c r="F74" s="34">
        <v>2.5888</v>
      </c>
      <c r="G74" s="34"/>
      <c r="H74" s="22">
        <f t="shared" si="2"/>
        <v>2.5888</v>
      </c>
      <c r="I74" s="23">
        <v>0</v>
      </c>
      <c r="J74" s="23">
        <v>0</v>
      </c>
      <c r="K74" s="24">
        <f t="shared" si="3"/>
        <v>2.5888</v>
      </c>
      <c r="L74" s="25"/>
      <c r="M74" s="12"/>
      <c r="N74" s="12"/>
    </row>
    <row r="75" spans="1:14" s="13" customFormat="1" ht="182.25" customHeight="1" x14ac:dyDescent="0.45">
      <c r="A75" s="38"/>
      <c r="B75" s="42">
        <v>18041500</v>
      </c>
      <c r="C75" s="36" t="s">
        <v>80</v>
      </c>
      <c r="D75" s="37"/>
      <c r="E75" s="37">
        <v>0</v>
      </c>
      <c r="F75" s="34">
        <v>0</v>
      </c>
      <c r="G75" s="34"/>
      <c r="H75" s="22">
        <f t="shared" si="2"/>
        <v>0</v>
      </c>
      <c r="I75" s="23">
        <v>0</v>
      </c>
      <c r="J75" s="23">
        <v>0</v>
      </c>
      <c r="K75" s="24">
        <f t="shared" si="3"/>
        <v>0</v>
      </c>
      <c r="L75" s="25"/>
      <c r="M75" s="12"/>
      <c r="N75" s="12"/>
    </row>
    <row r="76" spans="1:14" s="13" customFormat="1" ht="68.25" customHeight="1" x14ac:dyDescent="0.45">
      <c r="A76" s="38"/>
      <c r="B76" s="39">
        <v>18050000</v>
      </c>
      <c r="C76" s="40" t="s">
        <v>81</v>
      </c>
      <c r="D76" s="37"/>
      <c r="E76" s="33">
        <f>E78+E79+E77+E80</f>
        <v>0</v>
      </c>
      <c r="F76" s="33">
        <f>F78+F79+F77+F80</f>
        <v>45078.919090000003</v>
      </c>
      <c r="G76" s="34"/>
      <c r="H76" s="22">
        <f t="shared" si="2"/>
        <v>45078.919090000003</v>
      </c>
      <c r="I76" s="23">
        <v>0</v>
      </c>
      <c r="J76" s="23">
        <v>0</v>
      </c>
      <c r="K76" s="24">
        <f t="shared" si="3"/>
        <v>45078.919090000003</v>
      </c>
      <c r="L76" s="25"/>
      <c r="M76" s="12"/>
      <c r="N76" s="12"/>
    </row>
    <row r="77" spans="1:14" s="13" customFormat="1" ht="133.5" customHeight="1" x14ac:dyDescent="0.45">
      <c r="A77" s="38"/>
      <c r="B77" s="42">
        <v>18050200</v>
      </c>
      <c r="C77" s="36" t="s">
        <v>82</v>
      </c>
      <c r="D77" s="37"/>
      <c r="E77" s="37"/>
      <c r="F77" s="34">
        <v>8.5665499999999994</v>
      </c>
      <c r="G77" s="34"/>
      <c r="H77" s="22">
        <f t="shared" si="2"/>
        <v>8.5665499999999994</v>
      </c>
      <c r="I77" s="23">
        <v>0</v>
      </c>
      <c r="J77" s="23">
        <v>0</v>
      </c>
      <c r="K77" s="24">
        <f t="shared" si="3"/>
        <v>8.5665499999999994</v>
      </c>
      <c r="L77" s="25"/>
      <c r="M77" s="12"/>
      <c r="N77" s="12"/>
    </row>
    <row r="78" spans="1:14" s="13" customFormat="1" ht="79.5" customHeight="1" x14ac:dyDescent="0.45">
      <c r="A78" s="38"/>
      <c r="B78" s="42">
        <v>18050300</v>
      </c>
      <c r="C78" s="36" t="s">
        <v>83</v>
      </c>
      <c r="D78" s="37"/>
      <c r="E78" s="37"/>
      <c r="F78" s="34">
        <v>16525.885740000002</v>
      </c>
      <c r="G78" s="34"/>
      <c r="H78" s="22">
        <f t="shared" si="2"/>
        <v>16525.885740000002</v>
      </c>
      <c r="I78" s="23">
        <v>0</v>
      </c>
      <c r="J78" s="23">
        <v>0</v>
      </c>
      <c r="K78" s="24">
        <f t="shared" si="3"/>
        <v>16525.885740000002</v>
      </c>
      <c r="L78" s="25"/>
      <c r="M78" s="12"/>
      <c r="N78" s="12"/>
    </row>
    <row r="79" spans="1:14" s="13" customFormat="1" ht="87" customHeight="1" x14ac:dyDescent="0.45">
      <c r="A79" s="38"/>
      <c r="B79" s="42">
        <v>18050400</v>
      </c>
      <c r="C79" s="36" t="s">
        <v>84</v>
      </c>
      <c r="D79" s="37"/>
      <c r="E79" s="37"/>
      <c r="F79" s="34">
        <v>28541.3668</v>
      </c>
      <c r="G79" s="34"/>
      <c r="H79" s="22">
        <f t="shared" si="2"/>
        <v>28541.3668</v>
      </c>
      <c r="I79" s="23">
        <v>0</v>
      </c>
      <c r="J79" s="23">
        <v>0</v>
      </c>
      <c r="K79" s="24">
        <f t="shared" si="3"/>
        <v>28541.3668</v>
      </c>
      <c r="L79" s="25"/>
      <c r="M79" s="12"/>
      <c r="N79" s="12"/>
    </row>
    <row r="80" spans="1:14" s="13" customFormat="1" ht="87" customHeight="1" x14ac:dyDescent="0.45">
      <c r="A80" s="38"/>
      <c r="B80" s="42">
        <v>18050501</v>
      </c>
      <c r="C80" s="36" t="s">
        <v>85</v>
      </c>
      <c r="D80" s="37"/>
      <c r="E80" s="37"/>
      <c r="F80" s="34">
        <v>3.1</v>
      </c>
      <c r="G80" s="34"/>
      <c r="H80" s="22">
        <f t="shared" si="2"/>
        <v>3.1</v>
      </c>
      <c r="I80" s="23">
        <v>0</v>
      </c>
      <c r="J80" s="23">
        <v>0</v>
      </c>
      <c r="K80" s="24">
        <f t="shared" si="3"/>
        <v>3.1</v>
      </c>
      <c r="L80" s="25"/>
      <c r="M80" s="12"/>
      <c r="N80" s="12"/>
    </row>
    <row r="81" spans="1:14" s="13" customFormat="1" ht="63.75" customHeight="1" x14ac:dyDescent="0.45">
      <c r="A81" s="38"/>
      <c r="B81" s="39">
        <v>19000000</v>
      </c>
      <c r="C81" s="40" t="s">
        <v>86</v>
      </c>
      <c r="D81" s="32"/>
      <c r="E81" s="33">
        <f>E82</f>
        <v>0</v>
      </c>
      <c r="F81" s="33">
        <f>F82</f>
        <v>93.751979999999989</v>
      </c>
      <c r="G81" s="34"/>
      <c r="H81" s="22">
        <f t="shared" si="2"/>
        <v>93.751979999999989</v>
      </c>
      <c r="I81" s="23">
        <v>0</v>
      </c>
      <c r="J81" s="23">
        <v>0</v>
      </c>
      <c r="K81" s="24">
        <f t="shared" si="3"/>
        <v>93.751979999999989</v>
      </c>
      <c r="L81" s="25"/>
      <c r="M81" s="12"/>
      <c r="N81" s="12"/>
    </row>
    <row r="82" spans="1:14" s="13" customFormat="1" ht="69.75" customHeight="1" x14ac:dyDescent="0.45">
      <c r="A82" s="38"/>
      <c r="B82" s="35">
        <v>19010000</v>
      </c>
      <c r="C82" s="31" t="s">
        <v>87</v>
      </c>
      <c r="D82" s="32"/>
      <c r="E82" s="33">
        <f>E83+E84+E85</f>
        <v>0</v>
      </c>
      <c r="F82" s="33">
        <f>F83+F84+F85</f>
        <v>93.751979999999989</v>
      </c>
      <c r="G82" s="34"/>
      <c r="H82" s="22">
        <f t="shared" si="2"/>
        <v>93.751979999999989</v>
      </c>
      <c r="I82" s="23">
        <v>0</v>
      </c>
      <c r="J82" s="23">
        <v>0</v>
      </c>
      <c r="K82" s="24">
        <f t="shared" si="3"/>
        <v>93.751979999999989</v>
      </c>
      <c r="L82" s="25"/>
      <c r="M82" s="12"/>
      <c r="N82" s="12"/>
    </row>
    <row r="83" spans="1:14" s="13" customFormat="1" ht="114.75" customHeight="1" x14ac:dyDescent="0.45">
      <c r="A83" s="38"/>
      <c r="B83" s="35">
        <v>19010101</v>
      </c>
      <c r="C83" s="36" t="s">
        <v>88</v>
      </c>
      <c r="D83" s="37"/>
      <c r="E83" s="37">
        <v>0</v>
      </c>
      <c r="F83" s="34">
        <f>92.37329-18.47467</f>
        <v>73.898619999999994</v>
      </c>
      <c r="G83" s="34"/>
      <c r="H83" s="22">
        <f t="shared" si="2"/>
        <v>73.898619999999994</v>
      </c>
      <c r="I83" s="23">
        <v>0</v>
      </c>
      <c r="J83" s="23">
        <v>0</v>
      </c>
      <c r="K83" s="24">
        <f t="shared" si="3"/>
        <v>73.898619999999994</v>
      </c>
      <c r="L83" s="25"/>
      <c r="M83" s="12"/>
      <c r="N83" s="12"/>
    </row>
    <row r="84" spans="1:14" s="13" customFormat="1" ht="129.75" customHeight="1" x14ac:dyDescent="0.45">
      <c r="A84" s="38"/>
      <c r="B84" s="35">
        <v>19010201</v>
      </c>
      <c r="C84" s="36" t="s">
        <v>89</v>
      </c>
      <c r="D84" s="37"/>
      <c r="E84" s="37">
        <v>0</v>
      </c>
      <c r="F84" s="34">
        <f>0.069-0.0138</f>
        <v>5.5200000000000006E-2</v>
      </c>
      <c r="G84" s="34"/>
      <c r="H84" s="22">
        <f t="shared" si="2"/>
        <v>5.5200000000000006E-2</v>
      </c>
      <c r="I84" s="23">
        <v>0</v>
      </c>
      <c r="J84" s="23">
        <v>0</v>
      </c>
      <c r="K84" s="24">
        <f t="shared" si="3"/>
        <v>5.5200000000000006E-2</v>
      </c>
      <c r="L84" s="25"/>
      <c r="M84" s="12"/>
      <c r="N84" s="12"/>
    </row>
    <row r="85" spans="1:14" s="13" customFormat="1" ht="245.25" customHeight="1" x14ac:dyDescent="0.45">
      <c r="A85" s="38"/>
      <c r="B85" s="35">
        <v>19010301</v>
      </c>
      <c r="C85" s="36" t="s">
        <v>90</v>
      </c>
      <c r="D85" s="37"/>
      <c r="E85" s="37">
        <v>0</v>
      </c>
      <c r="F85" s="34">
        <f>24.74769-4.94953</f>
        <v>19.798159999999999</v>
      </c>
      <c r="G85" s="34"/>
      <c r="H85" s="22">
        <f t="shared" si="2"/>
        <v>19.798159999999999</v>
      </c>
      <c r="I85" s="23">
        <v>0</v>
      </c>
      <c r="J85" s="23">
        <v>0</v>
      </c>
      <c r="K85" s="24">
        <f t="shared" si="3"/>
        <v>19.798159999999999</v>
      </c>
      <c r="L85" s="25"/>
      <c r="M85" s="12"/>
      <c r="N85" s="12"/>
    </row>
    <row r="86" spans="1:14" s="13" customFormat="1" ht="67.5" customHeight="1" x14ac:dyDescent="0.45">
      <c r="A86" s="44"/>
      <c r="B86" s="39">
        <v>20000000</v>
      </c>
      <c r="C86" s="40" t="s">
        <v>91</v>
      </c>
      <c r="D86" s="32">
        <v>18149.8</v>
      </c>
      <c r="E86" s="33">
        <f>E87+E94+E111</f>
        <v>3824.4999999999995</v>
      </c>
      <c r="F86" s="33">
        <f>F87+F94+F111</f>
        <v>7011.9868600000009</v>
      </c>
      <c r="G86" s="33"/>
      <c r="H86" s="22">
        <f t="shared" si="2"/>
        <v>3187.4868600000013</v>
      </c>
      <c r="I86" s="23">
        <f t="shared" ref="I86:I120" si="4">F86/E86</f>
        <v>1.8334388442933722</v>
      </c>
      <c r="J86" s="23">
        <f t="shared" ref="J86:J120" si="5">F86/D86</f>
        <v>0.38633962137323835</v>
      </c>
      <c r="K86" s="24">
        <f t="shared" si="3"/>
        <v>-11137.813139999998</v>
      </c>
      <c r="L86" s="25"/>
      <c r="M86" s="12"/>
      <c r="N86" s="12"/>
    </row>
    <row r="87" spans="1:14" s="13" customFormat="1" ht="57" customHeight="1" x14ac:dyDescent="0.45">
      <c r="A87" s="38"/>
      <c r="B87" s="39">
        <v>21000000</v>
      </c>
      <c r="C87" s="40" t="s">
        <v>92</v>
      </c>
      <c r="D87" s="37">
        <v>1906.3</v>
      </c>
      <c r="E87" s="33">
        <f>E88+E91</f>
        <v>369.6</v>
      </c>
      <c r="F87" s="33">
        <f>F88+F91</f>
        <v>282.54451</v>
      </c>
      <c r="G87" s="34"/>
      <c r="H87" s="22">
        <f t="shared" si="2"/>
        <v>-87.05549000000002</v>
      </c>
      <c r="I87" s="23">
        <f t="shared" si="4"/>
        <v>0.76446025432900433</v>
      </c>
      <c r="J87" s="23">
        <f t="shared" si="5"/>
        <v>0.14821618318208046</v>
      </c>
      <c r="K87" s="24">
        <f t="shared" si="3"/>
        <v>-1623.75549</v>
      </c>
      <c r="L87" s="25"/>
      <c r="M87" s="12"/>
      <c r="N87" s="12"/>
    </row>
    <row r="88" spans="1:14" s="13" customFormat="1" ht="252.75" customHeight="1" x14ac:dyDescent="0.45">
      <c r="A88" s="38"/>
      <c r="B88" s="42">
        <v>21010000</v>
      </c>
      <c r="C88" s="36" t="s">
        <v>93</v>
      </c>
      <c r="D88" s="37">
        <v>1277.3</v>
      </c>
      <c r="E88" s="34">
        <f>E90+E89</f>
        <v>241.6</v>
      </c>
      <c r="F88" s="34">
        <f>F90+F89</f>
        <v>178.327</v>
      </c>
      <c r="G88" s="34"/>
      <c r="H88" s="22">
        <f t="shared" si="2"/>
        <v>-63.272999999999996</v>
      </c>
      <c r="I88" s="23">
        <f t="shared" si="4"/>
        <v>0.73810844370860929</v>
      </c>
      <c r="J88" s="23">
        <f t="shared" si="5"/>
        <v>0.13961246379080874</v>
      </c>
      <c r="K88" s="24">
        <f t="shared" si="3"/>
        <v>-1098.973</v>
      </c>
      <c r="L88" s="25"/>
      <c r="M88" s="12"/>
      <c r="N88" s="12"/>
    </row>
    <row r="89" spans="1:14" s="13" customFormat="1" ht="213" customHeight="1" x14ac:dyDescent="0.45">
      <c r="A89" s="38"/>
      <c r="B89" s="42">
        <v>21010300</v>
      </c>
      <c r="C89" s="36" t="s">
        <v>94</v>
      </c>
      <c r="D89" s="37">
        <v>1277.3</v>
      </c>
      <c r="E89" s="37">
        <v>241.6</v>
      </c>
      <c r="F89" s="34">
        <v>134.15799999999999</v>
      </c>
      <c r="G89" s="34"/>
      <c r="H89" s="22">
        <f t="shared" si="2"/>
        <v>-107.44200000000001</v>
      </c>
      <c r="I89" s="23">
        <f t="shared" si="4"/>
        <v>0.55528973509933766</v>
      </c>
      <c r="J89" s="23">
        <f t="shared" si="5"/>
        <v>0.10503249040945745</v>
      </c>
      <c r="K89" s="24">
        <f t="shared" si="3"/>
        <v>-1143.1420000000001</v>
      </c>
      <c r="L89" s="25"/>
      <c r="M89" s="12"/>
      <c r="N89" s="12"/>
    </row>
    <row r="90" spans="1:14" s="13" customFormat="1" ht="199.5" customHeight="1" x14ac:dyDescent="0.45">
      <c r="A90" s="38"/>
      <c r="B90" s="35">
        <v>21010302</v>
      </c>
      <c r="C90" s="36" t="s">
        <v>95</v>
      </c>
      <c r="D90" s="37"/>
      <c r="E90" s="37">
        <v>0</v>
      </c>
      <c r="F90" s="34">
        <v>44.168999999999997</v>
      </c>
      <c r="G90" s="34"/>
      <c r="H90" s="22">
        <f t="shared" si="2"/>
        <v>44.168999999999997</v>
      </c>
      <c r="I90" s="23" t="e">
        <f t="shared" si="4"/>
        <v>#DIV/0!</v>
      </c>
      <c r="J90" s="23" t="e">
        <f t="shared" si="5"/>
        <v>#DIV/0!</v>
      </c>
      <c r="K90" s="24">
        <f t="shared" si="3"/>
        <v>44.168999999999997</v>
      </c>
      <c r="L90" s="25"/>
      <c r="M90" s="12"/>
      <c r="N90" s="12"/>
    </row>
    <row r="91" spans="1:14" s="13" customFormat="1" ht="84" customHeight="1" x14ac:dyDescent="0.45">
      <c r="A91" s="38"/>
      <c r="B91" s="30">
        <v>21080000</v>
      </c>
      <c r="C91" s="31" t="s">
        <v>96</v>
      </c>
      <c r="D91" s="33">
        <f>D93+D92</f>
        <v>629</v>
      </c>
      <c r="E91" s="33">
        <f>E93+E92</f>
        <v>128</v>
      </c>
      <c r="F91" s="33">
        <f>F93+F92</f>
        <v>104.21750999999999</v>
      </c>
      <c r="G91" s="34"/>
      <c r="H91" s="22">
        <f t="shared" si="2"/>
        <v>-23.78249000000001</v>
      </c>
      <c r="I91" s="23">
        <f t="shared" si="4"/>
        <v>0.81419929687499992</v>
      </c>
      <c r="J91" s="23">
        <f t="shared" si="5"/>
        <v>0.16568761526232112</v>
      </c>
      <c r="K91" s="24">
        <f t="shared" si="3"/>
        <v>-524.78249000000005</v>
      </c>
      <c r="L91" s="25"/>
      <c r="M91" s="12"/>
      <c r="N91" s="12"/>
    </row>
    <row r="92" spans="1:14" s="13" customFormat="1" ht="84" customHeight="1" x14ac:dyDescent="0.45">
      <c r="A92" s="38"/>
      <c r="B92" s="42">
        <v>21080900</v>
      </c>
      <c r="C92" s="36" t="s">
        <v>97</v>
      </c>
      <c r="D92" s="37">
        <v>6.2</v>
      </c>
      <c r="E92" s="34">
        <v>1</v>
      </c>
      <c r="F92" s="34">
        <v>0.48699999999999999</v>
      </c>
      <c r="G92" s="34"/>
      <c r="H92" s="22">
        <f t="shared" si="2"/>
        <v>-0.51300000000000001</v>
      </c>
      <c r="I92" s="23">
        <f t="shared" si="4"/>
        <v>0.48699999999999999</v>
      </c>
      <c r="J92" s="23">
        <f t="shared" si="5"/>
        <v>7.8548387096774183E-2</v>
      </c>
      <c r="K92" s="24">
        <f t="shared" si="3"/>
        <v>-5.7130000000000001</v>
      </c>
      <c r="L92" s="25"/>
      <c r="M92" s="12"/>
      <c r="N92" s="12"/>
    </row>
    <row r="93" spans="1:14" s="13" customFormat="1" ht="94.5" customHeight="1" x14ac:dyDescent="0.45">
      <c r="A93" s="38"/>
      <c r="B93" s="42">
        <v>21081100</v>
      </c>
      <c r="C93" s="36" t="s">
        <v>98</v>
      </c>
      <c r="D93" s="37">
        <v>622.79999999999995</v>
      </c>
      <c r="E93" s="37">
        <v>127</v>
      </c>
      <c r="F93" s="34">
        <v>103.73051</v>
      </c>
      <c r="G93" s="34"/>
      <c r="H93" s="22">
        <f t="shared" si="2"/>
        <v>-23.269490000000005</v>
      </c>
      <c r="I93" s="23">
        <f t="shared" si="4"/>
        <v>0.81677566929133849</v>
      </c>
      <c r="J93" s="23">
        <f t="shared" si="5"/>
        <v>0.16655508991650611</v>
      </c>
      <c r="K93" s="24">
        <f t="shared" si="3"/>
        <v>-519.06948999999997</v>
      </c>
      <c r="L93" s="25"/>
      <c r="M93" s="12"/>
      <c r="N93" s="12"/>
    </row>
    <row r="94" spans="1:14" s="13" customFormat="1" ht="141" customHeight="1" x14ac:dyDescent="0.45">
      <c r="A94" s="38"/>
      <c r="B94" s="39">
        <v>22000000</v>
      </c>
      <c r="C94" s="40" t="s">
        <v>99</v>
      </c>
      <c r="D94" s="32">
        <v>16081.2</v>
      </c>
      <c r="E94" s="33">
        <f>E95+E104+E106</f>
        <v>3415.2999999999997</v>
      </c>
      <c r="F94" s="33">
        <f>F95+F104+F106</f>
        <v>6679.0684100000008</v>
      </c>
      <c r="G94" s="34"/>
      <c r="H94" s="22">
        <f t="shared" si="2"/>
        <v>3263.768410000001</v>
      </c>
      <c r="I94" s="23">
        <f t="shared" si="4"/>
        <v>1.9556315433490472</v>
      </c>
      <c r="J94" s="23">
        <f t="shared" si="5"/>
        <v>0.41533395579931848</v>
      </c>
      <c r="K94" s="24">
        <f t="shared" si="3"/>
        <v>-9402.1315900000009</v>
      </c>
      <c r="L94" s="25"/>
      <c r="M94" s="12"/>
      <c r="N94" s="12"/>
    </row>
    <row r="95" spans="1:14" s="13" customFormat="1" ht="101.25" customHeight="1" x14ac:dyDescent="0.45">
      <c r="A95" s="38"/>
      <c r="B95" s="35">
        <v>22010000</v>
      </c>
      <c r="C95" s="45" t="s">
        <v>100</v>
      </c>
      <c r="D95" s="46">
        <f>D98+D99+D100+D101+D102+D103+D97+D96</f>
        <v>10982.6</v>
      </c>
      <c r="E95" s="46">
        <f>E98+E99+E100+E101+E102+E103+E97+E96</f>
        <v>2487.1999999999998</v>
      </c>
      <c r="F95" s="46">
        <f>F98+F99+F100+F101+F102+F103+F97+F96</f>
        <v>4474.6559500000003</v>
      </c>
      <c r="G95" s="34"/>
      <c r="H95" s="22">
        <f t="shared" si="2"/>
        <v>1987.4559500000005</v>
      </c>
      <c r="I95" s="23">
        <f t="shared" si="4"/>
        <v>1.7990736370215505</v>
      </c>
      <c r="J95" s="23">
        <f t="shared" si="5"/>
        <v>0.40743138692112979</v>
      </c>
      <c r="K95" s="24">
        <f t="shared" si="3"/>
        <v>-6507.9440500000001</v>
      </c>
      <c r="L95" s="25"/>
      <c r="M95" s="12"/>
      <c r="N95" s="12"/>
    </row>
    <row r="96" spans="1:14" s="13" customFormat="1" ht="101.25" customHeight="1" x14ac:dyDescent="0.45">
      <c r="A96" s="38"/>
      <c r="B96" s="42">
        <v>22010200</v>
      </c>
      <c r="C96" s="36" t="s">
        <v>101</v>
      </c>
      <c r="D96" s="46">
        <v>5</v>
      </c>
      <c r="E96" s="46">
        <v>0</v>
      </c>
      <c r="F96" s="46">
        <v>0</v>
      </c>
      <c r="G96" s="34"/>
      <c r="H96" s="22">
        <f t="shared" si="2"/>
        <v>0</v>
      </c>
      <c r="I96" s="23">
        <v>0</v>
      </c>
      <c r="J96" s="23">
        <f t="shared" si="5"/>
        <v>0</v>
      </c>
      <c r="K96" s="24">
        <f t="shared" si="3"/>
        <v>-5</v>
      </c>
      <c r="L96" s="25"/>
      <c r="M96" s="12"/>
      <c r="N96" s="12"/>
    </row>
    <row r="97" spans="1:14" s="13" customFormat="1" ht="111" customHeight="1" x14ac:dyDescent="0.45">
      <c r="A97" s="38"/>
      <c r="B97" s="42">
        <v>22010500</v>
      </c>
      <c r="C97" s="36" t="s">
        <v>102</v>
      </c>
      <c r="D97" s="37">
        <v>2</v>
      </c>
      <c r="E97" s="37">
        <v>0.5</v>
      </c>
      <c r="F97" s="34">
        <v>0</v>
      </c>
      <c r="G97" s="34"/>
      <c r="H97" s="22">
        <f t="shared" si="2"/>
        <v>-0.5</v>
      </c>
      <c r="I97" s="23">
        <f t="shared" si="4"/>
        <v>0</v>
      </c>
      <c r="J97" s="23">
        <f t="shared" si="5"/>
        <v>0</v>
      </c>
      <c r="K97" s="24">
        <f t="shared" si="3"/>
        <v>-2</v>
      </c>
      <c r="L97" s="25"/>
      <c r="M97" s="12"/>
      <c r="N97" s="12"/>
    </row>
    <row r="98" spans="1:14" s="13" customFormat="1" ht="148.5" customHeight="1" x14ac:dyDescent="0.45">
      <c r="A98" s="38"/>
      <c r="B98" s="42">
        <v>22010700</v>
      </c>
      <c r="C98" s="36" t="s">
        <v>103</v>
      </c>
      <c r="D98" s="37">
        <v>3.5</v>
      </c>
      <c r="E98" s="37">
        <v>1.2</v>
      </c>
      <c r="F98" s="34">
        <v>1.56</v>
      </c>
      <c r="G98" s="34"/>
      <c r="H98" s="22">
        <f t="shared" si="2"/>
        <v>0.3600000000000001</v>
      </c>
      <c r="I98" s="23">
        <f t="shared" si="4"/>
        <v>1.3</v>
      </c>
      <c r="J98" s="23">
        <f t="shared" si="5"/>
        <v>0.44571428571428573</v>
      </c>
      <c r="K98" s="24">
        <f t="shared" si="3"/>
        <v>-1.94</v>
      </c>
      <c r="L98" s="25"/>
      <c r="M98" s="12"/>
      <c r="N98" s="12"/>
    </row>
    <row r="99" spans="1:14" s="13" customFormat="1" ht="182.25" customHeight="1" x14ac:dyDescent="0.45">
      <c r="A99" s="38"/>
      <c r="B99" s="42">
        <v>22010900</v>
      </c>
      <c r="C99" s="36" t="s">
        <v>104</v>
      </c>
      <c r="D99" s="37">
        <v>120</v>
      </c>
      <c r="E99" s="37">
        <v>32</v>
      </c>
      <c r="F99" s="34">
        <v>14.329000000000001</v>
      </c>
      <c r="G99" s="34"/>
      <c r="H99" s="22">
        <f t="shared" si="2"/>
        <v>-17.670999999999999</v>
      </c>
      <c r="I99" s="23">
        <f t="shared" si="4"/>
        <v>0.44778125000000002</v>
      </c>
      <c r="J99" s="23">
        <f t="shared" si="5"/>
        <v>0.11940833333333334</v>
      </c>
      <c r="K99" s="24">
        <f t="shared" si="3"/>
        <v>-105.67099999999999</v>
      </c>
      <c r="L99" s="25"/>
      <c r="M99" s="12"/>
      <c r="N99" s="12"/>
    </row>
    <row r="100" spans="1:14" s="13" customFormat="1" ht="153" customHeight="1" x14ac:dyDescent="0.45">
      <c r="A100" s="38"/>
      <c r="B100" s="42">
        <v>22011000</v>
      </c>
      <c r="C100" s="36" t="s">
        <v>105</v>
      </c>
      <c r="D100" s="37">
        <v>2000</v>
      </c>
      <c r="E100" s="37">
        <v>500</v>
      </c>
      <c r="F100" s="34">
        <v>501.23500000000001</v>
      </c>
      <c r="G100" s="34"/>
      <c r="H100" s="22">
        <f t="shared" si="2"/>
        <v>1.2350000000000136</v>
      </c>
      <c r="I100" s="23">
        <f t="shared" si="4"/>
        <v>1.00247</v>
      </c>
      <c r="J100" s="23">
        <f t="shared" si="5"/>
        <v>0.25061749999999999</v>
      </c>
      <c r="K100" s="24">
        <f t="shared" si="3"/>
        <v>-1498.7649999999999</v>
      </c>
      <c r="L100" s="25"/>
      <c r="M100" s="12"/>
      <c r="N100" s="12"/>
    </row>
    <row r="101" spans="1:14" s="13" customFormat="1" ht="144.75" customHeight="1" x14ac:dyDescent="0.45">
      <c r="A101" s="38"/>
      <c r="B101" s="42">
        <v>22011100</v>
      </c>
      <c r="C101" s="36" t="s">
        <v>106</v>
      </c>
      <c r="D101" s="37">
        <v>7878.1</v>
      </c>
      <c r="E101" s="37">
        <v>1790</v>
      </c>
      <c r="F101" s="34">
        <v>1856.0245500000001</v>
      </c>
      <c r="G101" s="34"/>
      <c r="H101" s="22">
        <f t="shared" si="2"/>
        <v>66.02455000000009</v>
      </c>
      <c r="I101" s="23">
        <f t="shared" si="4"/>
        <v>1.0368852234636872</v>
      </c>
      <c r="J101" s="23">
        <f t="shared" si="5"/>
        <v>0.23559291580457217</v>
      </c>
      <c r="K101" s="24">
        <f t="shared" si="3"/>
        <v>-6022.0754500000003</v>
      </c>
      <c r="L101" s="25"/>
      <c r="M101" s="12"/>
      <c r="N101" s="12"/>
    </row>
    <row r="102" spans="1:14" s="13" customFormat="1" ht="126.75" customHeight="1" x14ac:dyDescent="0.45">
      <c r="A102" s="38"/>
      <c r="B102" s="42">
        <v>22011800</v>
      </c>
      <c r="C102" s="36" t="s">
        <v>107</v>
      </c>
      <c r="D102" s="37">
        <v>974</v>
      </c>
      <c r="E102" s="37">
        <v>163.5</v>
      </c>
      <c r="F102" s="34">
        <v>155.42506</v>
      </c>
      <c r="G102" s="34"/>
      <c r="H102" s="22">
        <f t="shared" si="2"/>
        <v>-8.074939999999998</v>
      </c>
      <c r="I102" s="23">
        <f t="shared" si="4"/>
        <v>0.95061198776758415</v>
      </c>
      <c r="J102" s="23">
        <f t="shared" si="5"/>
        <v>0.15957398357289529</v>
      </c>
      <c r="K102" s="24">
        <f t="shared" si="3"/>
        <v>-818.57493999999997</v>
      </c>
      <c r="L102" s="25"/>
      <c r="M102" s="12"/>
      <c r="N102" s="12"/>
    </row>
    <row r="103" spans="1:14" s="13" customFormat="1" ht="71.25" customHeight="1" x14ac:dyDescent="0.45">
      <c r="A103" s="38"/>
      <c r="B103" s="42">
        <v>22012500</v>
      </c>
      <c r="C103" s="36" t="s">
        <v>108</v>
      </c>
      <c r="D103" s="37"/>
      <c r="E103" s="37">
        <v>0</v>
      </c>
      <c r="F103" s="34">
        <v>1946.0823399999999</v>
      </c>
      <c r="G103" s="34"/>
      <c r="H103" s="22">
        <f t="shared" si="2"/>
        <v>1946.0823399999999</v>
      </c>
      <c r="I103" s="23">
        <v>0</v>
      </c>
      <c r="J103" s="23">
        <v>0</v>
      </c>
      <c r="K103" s="24">
        <f t="shared" si="3"/>
        <v>1946.0823399999999</v>
      </c>
      <c r="L103" s="25"/>
      <c r="M103" s="12"/>
      <c r="N103" s="12"/>
    </row>
    <row r="104" spans="1:14" s="13" customFormat="1" ht="111" customHeight="1" x14ac:dyDescent="0.45">
      <c r="A104" s="38"/>
      <c r="B104" s="30">
        <v>22080000</v>
      </c>
      <c r="C104" s="31" t="s">
        <v>109</v>
      </c>
      <c r="D104" s="32">
        <v>4496.8</v>
      </c>
      <c r="E104" s="41">
        <f>E105</f>
        <v>850</v>
      </c>
      <c r="F104" s="41">
        <f>F105</f>
        <v>1323.86131</v>
      </c>
      <c r="G104" s="34"/>
      <c r="H104" s="22">
        <f t="shared" si="2"/>
        <v>473.86131</v>
      </c>
      <c r="I104" s="23">
        <f t="shared" si="4"/>
        <v>1.557483894117647</v>
      </c>
      <c r="J104" s="23">
        <f t="shared" si="5"/>
        <v>0.29440075386941822</v>
      </c>
      <c r="K104" s="24">
        <f t="shared" si="3"/>
        <v>-3172.93869</v>
      </c>
      <c r="L104" s="25"/>
      <c r="M104" s="12"/>
      <c r="N104" s="12"/>
    </row>
    <row r="105" spans="1:14" s="13" customFormat="1" ht="256.5" customHeight="1" x14ac:dyDescent="0.45">
      <c r="A105" s="38"/>
      <c r="B105" s="35">
        <v>22080402</v>
      </c>
      <c r="C105" s="36" t="s">
        <v>110</v>
      </c>
      <c r="D105" s="37">
        <v>4496.8</v>
      </c>
      <c r="E105" s="37">
        <v>850</v>
      </c>
      <c r="F105" s="34">
        <f>1183.55221+140.3091</f>
        <v>1323.86131</v>
      </c>
      <c r="G105" s="34"/>
      <c r="H105" s="22">
        <f t="shared" si="2"/>
        <v>473.86131</v>
      </c>
      <c r="I105" s="23">
        <f t="shared" si="4"/>
        <v>1.557483894117647</v>
      </c>
      <c r="J105" s="23">
        <f t="shared" si="5"/>
        <v>0.29440075386941822</v>
      </c>
      <c r="K105" s="24">
        <f t="shared" si="3"/>
        <v>-3172.93869</v>
      </c>
      <c r="L105" s="25"/>
      <c r="M105" s="12"/>
      <c r="N105" s="12"/>
    </row>
    <row r="106" spans="1:14" s="13" customFormat="1" ht="59.25" customHeight="1" x14ac:dyDescent="0.45">
      <c r="A106" s="38"/>
      <c r="B106" s="30">
        <v>22090000</v>
      </c>
      <c r="C106" s="31" t="s">
        <v>111</v>
      </c>
      <c r="D106" s="43">
        <v>601.79999999999995</v>
      </c>
      <c r="E106" s="41">
        <f>E107+E108+E109+E110</f>
        <v>78.099999999999994</v>
      </c>
      <c r="F106" s="41">
        <f>F107+F108+F109+F110</f>
        <v>880.55115000000001</v>
      </c>
      <c r="G106" s="34"/>
      <c r="H106" s="22">
        <f t="shared" si="2"/>
        <v>802.45114999999998</v>
      </c>
      <c r="I106" s="23">
        <f t="shared" si="4"/>
        <v>11.274662612035852</v>
      </c>
      <c r="J106" s="23">
        <f t="shared" si="5"/>
        <v>1.4631956630109673</v>
      </c>
      <c r="K106" s="24">
        <f t="shared" si="3"/>
        <v>278.75115000000005</v>
      </c>
      <c r="L106" s="25"/>
      <c r="M106" s="12"/>
      <c r="N106" s="12"/>
    </row>
    <row r="107" spans="1:14" s="13" customFormat="1" ht="124.5" customHeight="1" x14ac:dyDescent="0.45">
      <c r="A107" s="38"/>
      <c r="B107" s="35">
        <v>22090100</v>
      </c>
      <c r="C107" s="36" t="s">
        <v>112</v>
      </c>
      <c r="D107" s="37">
        <v>549</v>
      </c>
      <c r="E107" s="37">
        <v>67.5</v>
      </c>
      <c r="F107" s="34">
        <v>159.90472</v>
      </c>
      <c r="G107" s="34"/>
      <c r="H107" s="22">
        <f t="shared" si="2"/>
        <v>92.404719999999998</v>
      </c>
      <c r="I107" s="23">
        <f t="shared" si="4"/>
        <v>2.3689588148148149</v>
      </c>
      <c r="J107" s="23">
        <f t="shared" si="5"/>
        <v>0.29126542805100181</v>
      </c>
      <c r="K107" s="24">
        <f t="shared" si="3"/>
        <v>-389.09528</v>
      </c>
      <c r="L107" s="25"/>
      <c r="M107" s="12"/>
      <c r="N107" s="12"/>
    </row>
    <row r="108" spans="1:14" s="13" customFormat="1" ht="93.75" customHeight="1" x14ac:dyDescent="0.45">
      <c r="A108" s="38"/>
      <c r="B108" s="35">
        <v>22090200</v>
      </c>
      <c r="C108" s="36" t="s">
        <v>113</v>
      </c>
      <c r="D108" s="37">
        <v>0</v>
      </c>
      <c r="E108" s="37">
        <v>0</v>
      </c>
      <c r="F108" s="34">
        <v>172.79157000000001</v>
      </c>
      <c r="G108" s="34"/>
      <c r="H108" s="22">
        <f t="shared" si="2"/>
        <v>172.79157000000001</v>
      </c>
      <c r="I108" s="23" t="e">
        <f t="shared" si="4"/>
        <v>#DIV/0!</v>
      </c>
      <c r="J108" s="23" t="e">
        <f t="shared" si="5"/>
        <v>#DIV/0!</v>
      </c>
      <c r="K108" s="24">
        <f t="shared" si="3"/>
        <v>172.79157000000001</v>
      </c>
      <c r="L108" s="25"/>
      <c r="M108" s="12"/>
      <c r="N108" s="12"/>
    </row>
    <row r="109" spans="1:14" s="13" customFormat="1" ht="272.25" customHeight="1" x14ac:dyDescent="0.45">
      <c r="A109" s="38"/>
      <c r="B109" s="35">
        <v>22090300</v>
      </c>
      <c r="C109" s="36" t="s">
        <v>114</v>
      </c>
      <c r="D109" s="37">
        <v>0</v>
      </c>
      <c r="E109" s="37">
        <v>0</v>
      </c>
      <c r="F109" s="34">
        <v>16.349270000000001</v>
      </c>
      <c r="G109" s="34"/>
      <c r="H109" s="22">
        <f t="shared" si="2"/>
        <v>16.349270000000001</v>
      </c>
      <c r="I109" s="23" t="e">
        <f t="shared" si="4"/>
        <v>#DIV/0!</v>
      </c>
      <c r="J109" s="23" t="e">
        <f t="shared" si="5"/>
        <v>#DIV/0!</v>
      </c>
      <c r="K109" s="24">
        <f t="shared" si="3"/>
        <v>16.349270000000001</v>
      </c>
      <c r="L109" s="25"/>
      <c r="M109" s="12"/>
      <c r="N109" s="12"/>
    </row>
    <row r="110" spans="1:14" s="13" customFormat="1" ht="210.75" customHeight="1" x14ac:dyDescent="0.45">
      <c r="A110" s="38"/>
      <c r="B110" s="35">
        <v>22090400</v>
      </c>
      <c r="C110" s="36" t="s">
        <v>115</v>
      </c>
      <c r="D110" s="37">
        <v>52.8</v>
      </c>
      <c r="E110" s="37">
        <v>10.6</v>
      </c>
      <c r="F110" s="34">
        <v>531.50558999999998</v>
      </c>
      <c r="G110" s="34"/>
      <c r="H110" s="22">
        <f t="shared" si="2"/>
        <v>520.90558999999996</v>
      </c>
      <c r="I110" s="23">
        <f t="shared" si="4"/>
        <v>50.142036792452828</v>
      </c>
      <c r="J110" s="23">
        <f t="shared" si="5"/>
        <v>10.06639375</v>
      </c>
      <c r="K110" s="24">
        <f t="shared" si="3"/>
        <v>478.70558999999997</v>
      </c>
      <c r="L110" s="25"/>
      <c r="M110" s="12"/>
      <c r="N110" s="12"/>
    </row>
    <row r="111" spans="1:14" s="13" customFormat="1" ht="62.25" customHeight="1" x14ac:dyDescent="0.45">
      <c r="A111" s="38"/>
      <c r="B111" s="39">
        <v>24000000</v>
      </c>
      <c r="C111" s="31" t="s">
        <v>116</v>
      </c>
      <c r="D111" s="43">
        <v>162.30000000000001</v>
      </c>
      <c r="E111" s="41">
        <f>E113+E112</f>
        <v>39.6</v>
      </c>
      <c r="F111" s="41">
        <f>F113+F112</f>
        <v>50.373939999999997</v>
      </c>
      <c r="G111" s="46"/>
      <c r="H111" s="22">
        <f t="shared" si="2"/>
        <v>10.773939999999996</v>
      </c>
      <c r="I111" s="23">
        <f t="shared" si="4"/>
        <v>1.2720691919191918</v>
      </c>
      <c r="J111" s="23">
        <f t="shared" si="5"/>
        <v>0.31037547751078248</v>
      </c>
      <c r="K111" s="24">
        <f t="shared" si="3"/>
        <v>-111.92606000000001</v>
      </c>
      <c r="L111" s="25"/>
      <c r="M111" s="12"/>
      <c r="N111" s="12"/>
    </row>
    <row r="112" spans="1:14" s="13" customFormat="1" ht="216" customHeight="1" x14ac:dyDescent="0.45">
      <c r="A112" s="38"/>
      <c r="B112" s="42">
        <v>24030000</v>
      </c>
      <c r="C112" s="36" t="s">
        <v>117</v>
      </c>
      <c r="D112" s="37">
        <v>20</v>
      </c>
      <c r="E112" s="37">
        <v>0</v>
      </c>
      <c r="F112" s="34">
        <v>0</v>
      </c>
      <c r="G112" s="34"/>
      <c r="H112" s="22">
        <f t="shared" si="2"/>
        <v>0</v>
      </c>
      <c r="I112" s="23" t="e">
        <f t="shared" si="4"/>
        <v>#DIV/0!</v>
      </c>
      <c r="J112" s="23">
        <f t="shared" si="5"/>
        <v>0</v>
      </c>
      <c r="K112" s="24">
        <f t="shared" si="3"/>
        <v>-20</v>
      </c>
      <c r="L112" s="25"/>
      <c r="M112" s="12"/>
      <c r="N112" s="12"/>
    </row>
    <row r="113" spans="1:14" s="13" customFormat="1" ht="61.5" x14ac:dyDescent="0.45">
      <c r="A113" s="38"/>
      <c r="B113" s="35">
        <v>24060000</v>
      </c>
      <c r="C113" s="45" t="s">
        <v>118</v>
      </c>
      <c r="D113" s="37">
        <v>142.30000000000001</v>
      </c>
      <c r="E113" s="34">
        <f>E114</f>
        <v>39.6</v>
      </c>
      <c r="F113" s="34">
        <f>F114</f>
        <v>50.373939999999997</v>
      </c>
      <c r="G113" s="34"/>
      <c r="H113" s="22">
        <f t="shared" si="2"/>
        <v>10.773939999999996</v>
      </c>
      <c r="I113" s="23">
        <f t="shared" si="4"/>
        <v>1.2720691919191918</v>
      </c>
      <c r="J113" s="23">
        <f t="shared" si="5"/>
        <v>0.35399817287420937</v>
      </c>
      <c r="K113" s="24">
        <f t="shared" si="3"/>
        <v>-91.926060000000007</v>
      </c>
      <c r="L113" s="25"/>
      <c r="M113" s="12"/>
      <c r="N113" s="12"/>
    </row>
    <row r="114" spans="1:14" s="13" customFormat="1" ht="61.5" x14ac:dyDescent="0.45">
      <c r="A114" s="38"/>
      <c r="B114" s="35">
        <v>24060300</v>
      </c>
      <c r="C114" s="45" t="s">
        <v>119</v>
      </c>
      <c r="D114" s="47">
        <v>142.30000000000001</v>
      </c>
      <c r="E114" s="47">
        <v>39.6</v>
      </c>
      <c r="F114" s="48">
        <v>50.373939999999997</v>
      </c>
      <c r="G114" s="34"/>
      <c r="H114" s="22">
        <f t="shared" si="2"/>
        <v>10.773939999999996</v>
      </c>
      <c r="I114" s="23">
        <f t="shared" si="4"/>
        <v>1.2720691919191918</v>
      </c>
      <c r="J114" s="23">
        <f t="shared" si="5"/>
        <v>0.35399817287420937</v>
      </c>
      <c r="K114" s="24">
        <f t="shared" si="3"/>
        <v>-91.926060000000007</v>
      </c>
      <c r="L114" s="25"/>
      <c r="M114" s="12"/>
      <c r="N114" s="12"/>
    </row>
    <row r="115" spans="1:14" s="13" customFormat="1" ht="61.5" x14ac:dyDescent="0.45">
      <c r="A115" s="38"/>
      <c r="B115" s="39">
        <v>30000000</v>
      </c>
      <c r="C115" s="49" t="s">
        <v>120</v>
      </c>
      <c r="D115" s="32">
        <v>48.4</v>
      </c>
      <c r="E115" s="33">
        <f>E116</f>
        <v>13</v>
      </c>
      <c r="F115" s="33">
        <f>F116</f>
        <v>13.117800000000001</v>
      </c>
      <c r="G115" s="50"/>
      <c r="H115" s="22">
        <f t="shared" si="2"/>
        <v>0.11780000000000079</v>
      </c>
      <c r="I115" s="23">
        <f t="shared" si="4"/>
        <v>1.0090615384615385</v>
      </c>
      <c r="J115" s="23">
        <f t="shared" si="5"/>
        <v>0.27102892561983472</v>
      </c>
      <c r="K115" s="24">
        <f t="shared" si="3"/>
        <v>-35.282199999999996</v>
      </c>
      <c r="L115" s="25"/>
      <c r="M115" s="12"/>
      <c r="N115" s="12"/>
    </row>
    <row r="116" spans="1:14" s="13" customFormat="1" ht="75.75" customHeight="1" x14ac:dyDescent="0.45">
      <c r="A116" s="38"/>
      <c r="B116" s="30">
        <v>31000000</v>
      </c>
      <c r="C116" s="31" t="s">
        <v>121</v>
      </c>
      <c r="D116" s="51">
        <v>48.4</v>
      </c>
      <c r="E116" s="52">
        <f>E117</f>
        <v>13</v>
      </c>
      <c r="F116" s="52">
        <f>F117</f>
        <v>13.117800000000001</v>
      </c>
      <c r="G116" s="34"/>
      <c r="H116" s="22">
        <f t="shared" si="2"/>
        <v>0.11780000000000079</v>
      </c>
      <c r="I116" s="23">
        <f t="shared" si="4"/>
        <v>1.0090615384615385</v>
      </c>
      <c r="J116" s="23">
        <f t="shared" si="5"/>
        <v>0.27102892561983472</v>
      </c>
      <c r="K116" s="24">
        <f t="shared" si="3"/>
        <v>-35.282199999999996</v>
      </c>
      <c r="L116" s="25"/>
      <c r="M116" s="12"/>
      <c r="N116" s="12"/>
    </row>
    <row r="117" spans="1:14" s="13" customFormat="1" ht="324" customHeight="1" thickBot="1" x14ac:dyDescent="0.5">
      <c r="A117" s="53"/>
      <c r="B117" s="54">
        <v>31010200</v>
      </c>
      <c r="C117" s="55" t="s">
        <v>122</v>
      </c>
      <c r="D117" s="56">
        <v>48.4</v>
      </c>
      <c r="E117" s="56">
        <v>13</v>
      </c>
      <c r="F117" s="57">
        <v>13.117800000000001</v>
      </c>
      <c r="G117" s="57"/>
      <c r="H117" s="22">
        <f t="shared" si="2"/>
        <v>0.11780000000000079</v>
      </c>
      <c r="I117" s="23">
        <f t="shared" si="4"/>
        <v>1.0090615384615385</v>
      </c>
      <c r="J117" s="23">
        <f t="shared" si="5"/>
        <v>0.27102892561983472</v>
      </c>
      <c r="K117" s="24">
        <f t="shared" si="3"/>
        <v>-35.282199999999996</v>
      </c>
      <c r="L117" s="25"/>
      <c r="M117" s="12"/>
      <c r="N117" s="12"/>
    </row>
    <row r="118" spans="1:14" s="62" customFormat="1" ht="46.5" hidden="1" customHeight="1" thickBot="1" x14ac:dyDescent="0.5">
      <c r="A118" s="58"/>
      <c r="B118" s="59"/>
      <c r="C118" s="60"/>
      <c r="D118" s="61"/>
      <c r="E118" s="61"/>
      <c r="F118" s="52"/>
      <c r="G118" s="52"/>
      <c r="H118" s="22">
        <f t="shared" si="2"/>
        <v>0</v>
      </c>
      <c r="I118" s="23" t="e">
        <f t="shared" si="4"/>
        <v>#DIV/0!</v>
      </c>
      <c r="J118" s="23" t="e">
        <f t="shared" si="5"/>
        <v>#DIV/0!</v>
      </c>
      <c r="K118" s="24">
        <f t="shared" si="3"/>
        <v>0</v>
      </c>
      <c r="L118" s="25"/>
      <c r="M118" s="12"/>
      <c r="N118" s="12"/>
    </row>
    <row r="119" spans="1:14" s="68" customFormat="1" ht="90.75" hidden="1" customHeight="1" x14ac:dyDescent="0.45">
      <c r="A119" s="63"/>
      <c r="B119" s="64"/>
      <c r="C119" s="65" t="s">
        <v>123</v>
      </c>
      <c r="D119" s="66"/>
      <c r="E119" s="66"/>
      <c r="F119" s="67"/>
      <c r="G119" s="67"/>
      <c r="H119" s="22">
        <f t="shared" si="2"/>
        <v>0</v>
      </c>
      <c r="I119" s="23" t="e">
        <f t="shared" si="4"/>
        <v>#DIV/0!</v>
      </c>
      <c r="J119" s="23" t="e">
        <f t="shared" si="5"/>
        <v>#DIV/0!</v>
      </c>
      <c r="K119" s="24">
        <f t="shared" si="3"/>
        <v>0</v>
      </c>
      <c r="L119" s="25"/>
      <c r="M119" s="12"/>
      <c r="N119" s="12"/>
    </row>
    <row r="120" spans="1:14" s="68" customFormat="1" ht="75" customHeight="1" thickBot="1" x14ac:dyDescent="0.5">
      <c r="A120" s="69"/>
      <c r="B120" s="70"/>
      <c r="C120" s="71" t="s">
        <v>124</v>
      </c>
      <c r="D120" s="72">
        <v>1096783</v>
      </c>
      <c r="E120" s="73">
        <f>E5+E86+E115</f>
        <v>239171.5</v>
      </c>
      <c r="F120" s="73">
        <f>F5+F86+F115</f>
        <v>410725.79358</v>
      </c>
      <c r="G120" s="74"/>
      <c r="H120" s="75">
        <f>F120-E120</f>
        <v>171554.29358</v>
      </c>
      <c r="I120" s="76">
        <f t="shared" si="4"/>
        <v>1.7172856865471011</v>
      </c>
      <c r="J120" s="76">
        <f t="shared" si="5"/>
        <v>0.37448227550937607</v>
      </c>
      <c r="K120" s="77">
        <f t="shared" si="3"/>
        <v>-686057.20641999994</v>
      </c>
      <c r="L120" s="25"/>
      <c r="M120" s="12"/>
      <c r="N120" s="12"/>
    </row>
    <row r="121" spans="1:14" s="13" customFormat="1" ht="68.25" customHeight="1" x14ac:dyDescent="0.4">
      <c r="A121" s="78"/>
      <c r="B121" s="79"/>
      <c r="C121" s="80"/>
      <c r="D121" s="81"/>
      <c r="E121" s="81"/>
      <c r="F121" s="82"/>
      <c r="G121" s="82"/>
      <c r="H121" s="83"/>
      <c r="I121" s="84"/>
      <c r="J121" s="84"/>
      <c r="K121" s="85"/>
      <c r="L121" s="12"/>
      <c r="M121" s="12"/>
      <c r="N121" s="12"/>
    </row>
    <row r="122" spans="1:14" s="13" customFormat="1" ht="92.25" customHeight="1" x14ac:dyDescent="0.4">
      <c r="A122" s="86"/>
      <c r="B122" s="87"/>
      <c r="C122" s="88"/>
      <c r="D122" s="89"/>
      <c r="E122" s="89"/>
      <c r="F122" s="90"/>
      <c r="G122" s="91"/>
      <c r="H122" s="92"/>
      <c r="I122" s="93"/>
      <c r="J122" s="93"/>
      <c r="K122" s="94"/>
      <c r="L122" s="12"/>
      <c r="M122" s="12"/>
      <c r="N122" s="12"/>
    </row>
    <row r="123" spans="1:14" s="13" customFormat="1" ht="36" customHeight="1" x14ac:dyDescent="0.4">
      <c r="A123" s="86"/>
      <c r="B123" s="95"/>
      <c r="C123" s="88"/>
      <c r="D123" s="89"/>
      <c r="E123" s="89"/>
      <c r="F123" s="91"/>
      <c r="G123" s="91"/>
      <c r="H123" s="92"/>
      <c r="I123" s="93"/>
      <c r="J123" s="93"/>
      <c r="K123" s="94"/>
      <c r="L123" s="12"/>
      <c r="M123" s="12"/>
      <c r="N123" s="12"/>
    </row>
    <row r="124" spans="1:14" s="13" customFormat="1" ht="30.75" x14ac:dyDescent="0.4">
      <c r="A124" s="86"/>
      <c r="B124" s="87"/>
      <c r="C124" s="88"/>
      <c r="D124" s="89"/>
      <c r="E124" s="89"/>
      <c r="F124" s="91"/>
      <c r="G124" s="91"/>
      <c r="H124" s="92"/>
      <c r="I124" s="93"/>
      <c r="J124" s="93"/>
      <c r="K124" s="94"/>
      <c r="L124" s="12"/>
      <c r="M124" s="12"/>
      <c r="N124" s="12"/>
    </row>
    <row r="125" spans="1:14" s="13" customFormat="1" ht="39.75" customHeight="1" x14ac:dyDescent="0.4">
      <c r="A125" s="86"/>
      <c r="B125" s="87"/>
      <c r="C125" s="88"/>
      <c r="D125" s="89"/>
      <c r="E125" s="89"/>
      <c r="F125" s="91"/>
      <c r="G125" s="91"/>
      <c r="H125" s="92"/>
      <c r="I125" s="93"/>
      <c r="J125" s="93"/>
      <c r="K125" s="94"/>
      <c r="L125" s="12"/>
      <c r="M125" s="12"/>
      <c r="N125" s="12"/>
    </row>
    <row r="126" spans="1:14" s="13" customFormat="1" ht="61.5" customHeight="1" x14ac:dyDescent="0.4">
      <c r="A126" s="86"/>
      <c r="B126" s="96"/>
      <c r="C126" s="97"/>
      <c r="D126" s="98"/>
      <c r="E126" s="99"/>
      <c r="F126" s="91"/>
      <c r="G126" s="91"/>
      <c r="H126" s="92"/>
      <c r="I126" s="93"/>
      <c r="J126" s="93"/>
      <c r="K126" s="94"/>
      <c r="L126" s="12"/>
      <c r="M126" s="12"/>
      <c r="N126" s="12"/>
    </row>
    <row r="127" spans="1:14" s="13" customFormat="1" ht="59.25" hidden="1" customHeight="1" x14ac:dyDescent="0.4">
      <c r="A127" s="86"/>
      <c r="B127" s="96"/>
      <c r="C127" s="97"/>
      <c r="D127" s="98"/>
      <c r="E127" s="99"/>
      <c r="F127" s="91"/>
      <c r="G127" s="91"/>
      <c r="H127" s="92"/>
      <c r="I127" s="93"/>
      <c r="J127" s="93"/>
      <c r="K127" s="94"/>
      <c r="L127" s="12"/>
      <c r="M127" s="12"/>
      <c r="N127" s="12"/>
    </row>
    <row r="128" spans="1:14" s="13" customFormat="1" ht="69" hidden="1" customHeight="1" x14ac:dyDescent="0.4">
      <c r="A128" s="86"/>
      <c r="B128" s="87"/>
      <c r="C128" s="88"/>
      <c r="D128" s="89"/>
      <c r="E128" s="99"/>
      <c r="F128" s="91"/>
      <c r="G128" s="91"/>
      <c r="H128" s="92"/>
      <c r="I128" s="93"/>
      <c r="J128" s="93"/>
      <c r="K128" s="94"/>
      <c r="L128" s="12"/>
      <c r="M128" s="12"/>
      <c r="N128" s="12"/>
    </row>
    <row r="129" spans="1:14" s="13" customFormat="1" ht="103.5" customHeight="1" x14ac:dyDescent="0.4">
      <c r="A129" s="86"/>
      <c r="B129" s="87"/>
      <c r="C129" s="88"/>
      <c r="D129" s="89"/>
      <c r="E129" s="89"/>
      <c r="F129" s="91"/>
      <c r="G129" s="91"/>
      <c r="H129" s="92"/>
      <c r="I129" s="93"/>
      <c r="J129" s="93"/>
      <c r="K129" s="94"/>
      <c r="L129" s="12"/>
      <c r="M129" s="12"/>
      <c r="N129" s="12"/>
    </row>
    <row r="130" spans="1:14" s="13" customFormat="1" ht="30.75" x14ac:dyDescent="0.4">
      <c r="A130" s="86"/>
      <c r="B130" s="87"/>
      <c r="C130" s="88"/>
      <c r="D130" s="89"/>
      <c r="E130" s="99"/>
      <c r="F130" s="91"/>
      <c r="G130" s="91"/>
      <c r="H130" s="92"/>
      <c r="I130" s="93"/>
      <c r="J130" s="93"/>
      <c r="K130" s="94"/>
      <c r="L130" s="12"/>
      <c r="M130" s="12"/>
      <c r="N130" s="12"/>
    </row>
    <row r="131" spans="1:14" s="13" customFormat="1" ht="30.75" hidden="1" x14ac:dyDescent="0.4">
      <c r="A131" s="86"/>
      <c r="B131" s="87"/>
      <c r="C131" s="88"/>
      <c r="D131" s="89"/>
      <c r="E131" s="99"/>
      <c r="F131" s="91"/>
      <c r="G131" s="91"/>
      <c r="H131" s="92"/>
      <c r="I131" s="93"/>
      <c r="J131" s="93"/>
      <c r="K131" s="94"/>
      <c r="L131" s="12"/>
      <c r="M131" s="12"/>
      <c r="N131" s="12"/>
    </row>
    <row r="132" spans="1:14" s="13" customFormat="1" ht="163.5" customHeight="1" x14ac:dyDescent="0.4">
      <c r="A132" s="86"/>
      <c r="B132" s="87"/>
      <c r="C132" s="88"/>
      <c r="D132" s="89"/>
      <c r="E132" s="89"/>
      <c r="F132" s="91"/>
      <c r="G132" s="91"/>
      <c r="H132" s="92"/>
      <c r="I132" s="93"/>
      <c r="J132" s="93"/>
      <c r="K132" s="94"/>
      <c r="L132" s="12"/>
      <c r="M132" s="12"/>
      <c r="N132" s="12"/>
    </row>
    <row r="133" spans="1:14" s="13" customFormat="1" ht="30.75" x14ac:dyDescent="0.4">
      <c r="A133" s="86"/>
      <c r="B133" s="87"/>
      <c r="C133" s="88"/>
      <c r="D133" s="89"/>
      <c r="E133" s="89"/>
      <c r="F133" s="91"/>
      <c r="G133" s="91"/>
      <c r="H133" s="92"/>
      <c r="I133" s="93"/>
      <c r="J133" s="93"/>
      <c r="K133" s="94"/>
      <c r="L133" s="12"/>
      <c r="M133" s="12"/>
      <c r="N133" s="12"/>
    </row>
    <row r="134" spans="1:14" s="13" customFormat="1" ht="30.75" x14ac:dyDescent="0.4">
      <c r="A134" s="86"/>
      <c r="B134" s="87"/>
      <c r="C134" s="88"/>
      <c r="D134" s="89"/>
      <c r="E134" s="89"/>
      <c r="F134" s="91"/>
      <c r="G134" s="91"/>
      <c r="H134" s="92"/>
      <c r="I134" s="93"/>
      <c r="J134" s="93"/>
      <c r="K134" s="94"/>
      <c r="L134" s="12"/>
      <c r="M134" s="12"/>
      <c r="N134" s="12"/>
    </row>
    <row r="135" spans="1:14" s="13" customFormat="1" ht="30.75" hidden="1" x14ac:dyDescent="0.4">
      <c r="A135" s="86"/>
      <c r="B135" s="87"/>
      <c r="C135" s="88"/>
      <c r="D135" s="89"/>
      <c r="E135" s="99"/>
      <c r="F135" s="91"/>
      <c r="G135" s="91"/>
      <c r="H135" s="92"/>
      <c r="I135" s="93"/>
      <c r="J135" s="93"/>
      <c r="K135" s="94"/>
      <c r="L135" s="12"/>
      <c r="M135" s="12"/>
      <c r="N135" s="12"/>
    </row>
    <row r="136" spans="1:14" s="13" customFormat="1" ht="91.5" customHeight="1" x14ac:dyDescent="0.4">
      <c r="A136" s="86"/>
      <c r="B136" s="87"/>
      <c r="C136" s="88"/>
      <c r="D136" s="89"/>
      <c r="E136" s="89"/>
      <c r="F136" s="91"/>
      <c r="G136" s="91"/>
      <c r="H136" s="92"/>
      <c r="I136" s="93"/>
      <c r="J136" s="93"/>
      <c r="K136" s="94"/>
      <c r="L136" s="12"/>
      <c r="M136" s="12"/>
      <c r="N136" s="12"/>
    </row>
    <row r="137" spans="1:14" s="13" customFormat="1" ht="135.75" customHeight="1" x14ac:dyDescent="0.4">
      <c r="A137" s="86"/>
      <c r="B137" s="87"/>
      <c r="C137" s="88"/>
      <c r="D137" s="89"/>
      <c r="E137" s="89"/>
      <c r="F137" s="91"/>
      <c r="G137" s="91"/>
      <c r="H137" s="92"/>
      <c r="I137" s="93"/>
      <c r="J137" s="93"/>
      <c r="K137" s="94"/>
      <c r="L137" s="12"/>
      <c r="M137" s="12"/>
      <c r="N137" s="12"/>
    </row>
    <row r="138" spans="1:14" s="13" customFormat="1" ht="36" customHeight="1" x14ac:dyDescent="0.4">
      <c r="A138" s="86"/>
      <c r="B138" s="87"/>
      <c r="C138" s="88"/>
      <c r="D138" s="89"/>
      <c r="E138" s="89"/>
      <c r="F138" s="91"/>
      <c r="G138" s="91"/>
      <c r="H138" s="92"/>
      <c r="I138" s="93"/>
      <c r="J138" s="93"/>
      <c r="K138" s="94"/>
      <c r="L138" s="12"/>
      <c r="M138" s="12"/>
      <c r="N138" s="12"/>
    </row>
    <row r="139" spans="1:14" s="13" customFormat="1" ht="32.25" hidden="1" customHeight="1" x14ac:dyDescent="0.4">
      <c r="A139" s="86"/>
      <c r="B139" s="96"/>
      <c r="C139" s="97"/>
      <c r="D139" s="98"/>
      <c r="E139" s="99"/>
      <c r="F139" s="91"/>
      <c r="G139" s="91"/>
      <c r="H139" s="92"/>
      <c r="I139" s="93"/>
      <c r="J139" s="93"/>
      <c r="K139" s="94"/>
      <c r="L139" s="12"/>
      <c r="M139" s="12"/>
      <c r="N139" s="12"/>
    </row>
    <row r="140" spans="1:14" s="13" customFormat="1" ht="50.25" hidden="1" customHeight="1" x14ac:dyDescent="0.4">
      <c r="A140" s="86"/>
      <c r="B140" s="96"/>
      <c r="C140" s="97"/>
      <c r="D140" s="98"/>
      <c r="E140" s="99"/>
      <c r="F140" s="91"/>
      <c r="G140" s="91"/>
      <c r="H140" s="92"/>
      <c r="I140" s="93"/>
      <c r="J140" s="93"/>
      <c r="K140" s="94"/>
      <c r="L140" s="12"/>
      <c r="M140" s="12"/>
      <c r="N140" s="12"/>
    </row>
    <row r="141" spans="1:14" s="101" customFormat="1" ht="160.5" customHeight="1" thickBot="1" x14ac:dyDescent="0.45">
      <c r="A141" s="100"/>
      <c r="B141" s="96"/>
      <c r="C141" s="88"/>
      <c r="D141" s="89"/>
      <c r="E141" s="89"/>
      <c r="F141" s="91"/>
      <c r="G141" s="91"/>
      <c r="H141" s="92"/>
      <c r="I141" s="93"/>
      <c r="J141" s="93"/>
      <c r="K141" s="94"/>
      <c r="L141" s="12"/>
      <c r="M141" s="12"/>
      <c r="N141" s="12"/>
    </row>
    <row r="142" spans="1:14" s="62" customFormat="1" ht="49.5" hidden="1" customHeight="1" thickBot="1" x14ac:dyDescent="0.45">
      <c r="A142" s="102"/>
      <c r="B142" s="103"/>
      <c r="C142" s="104"/>
      <c r="D142" s="105"/>
      <c r="E142" s="105"/>
      <c r="F142" s="105"/>
      <c r="G142" s="105"/>
      <c r="H142" s="92"/>
      <c r="I142" s="106"/>
      <c r="J142" s="93"/>
      <c r="K142" s="94"/>
      <c r="L142" s="12"/>
      <c r="M142" s="12"/>
      <c r="N142" s="12"/>
    </row>
    <row r="143" spans="1:14" s="113" customFormat="1" ht="100.5" hidden="1" customHeight="1" thickBot="1" x14ac:dyDescent="0.45">
      <c r="A143" s="107"/>
      <c r="B143" s="103"/>
      <c r="C143" s="108"/>
      <c r="D143" s="109"/>
      <c r="E143" s="109"/>
      <c r="F143" s="109"/>
      <c r="G143" s="109"/>
      <c r="H143" s="110"/>
      <c r="I143" s="111"/>
      <c r="J143" s="106"/>
      <c r="K143" s="112"/>
      <c r="L143" s="12"/>
      <c r="M143" s="12"/>
      <c r="N143" s="12"/>
    </row>
    <row r="144" spans="1:14" s="121" customFormat="1" ht="54" customHeight="1" thickBot="1" x14ac:dyDescent="0.45">
      <c r="A144" s="114"/>
      <c r="B144" s="115"/>
      <c r="C144" s="116"/>
      <c r="D144" s="117"/>
      <c r="E144" s="117"/>
      <c r="F144" s="117"/>
      <c r="G144" s="117"/>
      <c r="H144" s="118"/>
      <c r="I144" s="119"/>
      <c r="J144" s="119"/>
      <c r="K144" s="120"/>
      <c r="L144" s="8"/>
      <c r="M144" s="8"/>
      <c r="N144" s="8"/>
    </row>
    <row r="145" spans="1:9" x14ac:dyDescent="0.35">
      <c r="A145" s="122"/>
      <c r="B145" s="122"/>
      <c r="C145" s="122"/>
      <c r="D145" s="122"/>
      <c r="E145" s="122"/>
      <c r="F145" s="122"/>
      <c r="G145" s="122"/>
      <c r="H145" s="122"/>
      <c r="I145" s="122"/>
    </row>
    <row r="146" spans="1:9" x14ac:dyDescent="0.35">
      <c r="F146" s="122"/>
      <c r="G146" s="122"/>
      <c r="H146" s="122"/>
      <c r="I146" s="122"/>
    </row>
    <row r="147" spans="1:9" x14ac:dyDescent="0.35">
      <c r="F147" s="122"/>
      <c r="G147" s="122"/>
      <c r="H147" s="122"/>
      <c r="I147" s="122"/>
    </row>
    <row r="148" spans="1:9" x14ac:dyDescent="0.35">
      <c r="F148" s="122"/>
      <c r="G148" s="122"/>
      <c r="H148" s="122"/>
      <c r="I148" s="122"/>
    </row>
    <row r="154" spans="1:9" s="124" customFormat="1" x14ac:dyDescent="0.35"/>
    <row r="155" spans="1:9" s="124" customFormat="1" x14ac:dyDescent="0.35"/>
    <row r="156" spans="1:9" s="124" customFormat="1" x14ac:dyDescent="0.35"/>
    <row r="157" spans="1:9" s="124" customFormat="1" x14ac:dyDescent="0.35"/>
    <row r="158" spans="1:9" s="124" customFormat="1" x14ac:dyDescent="0.35"/>
    <row r="159" spans="1:9" s="124" customFormat="1" x14ac:dyDescent="0.35"/>
    <row r="160" spans="1:9" s="124" customFormat="1" x14ac:dyDescent="0.35"/>
    <row r="161" s="124" customFormat="1" x14ac:dyDescent="0.35"/>
    <row r="162" s="124" customFormat="1" x14ac:dyDescent="0.35"/>
    <row r="163" s="124" customFormat="1" x14ac:dyDescent="0.35"/>
    <row r="164" s="124" customFormat="1" x14ac:dyDescent="0.35"/>
    <row r="165" s="124" customFormat="1" x14ac:dyDescent="0.35"/>
    <row r="166" s="124" customFormat="1" x14ac:dyDescent="0.35"/>
    <row r="167" s="124" customFormat="1" x14ac:dyDescent="0.35"/>
    <row r="168" s="124" customFormat="1" x14ac:dyDescent="0.35"/>
    <row r="169" s="124" customFormat="1" x14ac:dyDescent="0.35"/>
    <row r="170" s="124" customFormat="1" x14ac:dyDescent="0.35"/>
    <row r="171" s="124" customFormat="1" x14ac:dyDescent="0.35"/>
    <row r="172" s="124" customFormat="1" x14ac:dyDescent="0.35"/>
    <row r="173" s="124" customFormat="1" x14ac:dyDescent="0.35"/>
    <row r="174" s="124" customFormat="1" x14ac:dyDescent="0.35"/>
    <row r="175" s="124" customFormat="1" x14ac:dyDescent="0.35"/>
    <row r="176" s="124" customFormat="1" x14ac:dyDescent="0.35"/>
    <row r="177" s="124" customFormat="1" x14ac:dyDescent="0.35"/>
    <row r="178" s="124" customFormat="1" x14ac:dyDescent="0.35"/>
    <row r="179" s="124" customFormat="1" x14ac:dyDescent="0.35"/>
    <row r="180" s="124" customFormat="1" x14ac:dyDescent="0.35"/>
    <row r="181" s="124" customFormat="1" x14ac:dyDescent="0.35"/>
    <row r="182" s="124" customFormat="1" x14ac:dyDescent="0.35"/>
    <row r="183" s="124" customFormat="1" x14ac:dyDescent="0.35"/>
    <row r="184" s="124" customFormat="1" x14ac:dyDescent="0.35"/>
    <row r="185" s="124" customFormat="1" x14ac:dyDescent="0.35"/>
    <row r="186" s="124" customFormat="1" x14ac:dyDescent="0.35"/>
    <row r="187" s="124" customFormat="1" x14ac:dyDescent="0.35"/>
    <row r="188" s="124" customFormat="1" x14ac:dyDescent="0.35"/>
    <row r="189" s="124" customFormat="1" x14ac:dyDescent="0.35"/>
    <row r="190" s="124" customFormat="1" x14ac:dyDescent="0.35"/>
    <row r="191" s="124" customFormat="1" x14ac:dyDescent="0.35"/>
    <row r="192" s="124" customFormat="1" x14ac:dyDescent="0.35"/>
    <row r="193" s="124" customFormat="1" x14ac:dyDescent="0.35"/>
    <row r="194" s="124" customFormat="1" x14ac:dyDescent="0.35"/>
    <row r="195" s="124" customFormat="1" x14ac:dyDescent="0.35"/>
    <row r="196" s="124" customFormat="1" x14ac:dyDescent="0.35"/>
    <row r="197" s="124" customFormat="1" x14ac:dyDescent="0.35"/>
    <row r="198" s="124" customFormat="1" x14ac:dyDescent="0.35"/>
    <row r="199" s="124" customFormat="1" x14ac:dyDescent="0.35"/>
    <row r="200" s="124" customFormat="1" x14ac:dyDescent="0.35"/>
    <row r="201" s="124" customFormat="1" x14ac:dyDescent="0.35"/>
    <row r="202" s="124" customFormat="1" x14ac:dyDescent="0.35"/>
    <row r="203" s="124" customFormat="1" x14ac:dyDescent="0.35"/>
    <row r="204" s="124" customFormat="1" x14ac:dyDescent="0.35"/>
    <row r="205" s="124" customFormat="1" x14ac:dyDescent="0.35"/>
    <row r="206" s="124" customFormat="1" x14ac:dyDescent="0.35"/>
    <row r="207" s="124" customFormat="1" x14ac:dyDescent="0.35"/>
    <row r="208" s="124" customFormat="1" x14ac:dyDescent="0.35"/>
    <row r="209" s="124" customFormat="1" x14ac:dyDescent="0.35"/>
    <row r="210" s="124" customFormat="1" x14ac:dyDescent="0.35"/>
    <row r="211" s="124" customFormat="1" x14ac:dyDescent="0.35"/>
    <row r="212" s="124" customFormat="1" x14ac:dyDescent="0.35"/>
    <row r="213" s="124" customFormat="1" x14ac:dyDescent="0.35"/>
    <row r="214" s="124" customFormat="1" x14ac:dyDescent="0.35"/>
    <row r="215" s="124" customFormat="1" x14ac:dyDescent="0.35"/>
    <row r="216" s="124" customFormat="1" x14ac:dyDescent="0.35"/>
    <row r="217" s="124" customFormat="1" x14ac:dyDescent="0.35"/>
    <row r="218" s="124" customFormat="1" x14ac:dyDescent="0.35"/>
    <row r="219" s="124" customFormat="1" x14ac:dyDescent="0.35"/>
    <row r="220" s="124" customFormat="1" x14ac:dyDescent="0.35"/>
    <row r="221" s="124" customFormat="1" x14ac:dyDescent="0.35"/>
    <row r="222" s="124" customFormat="1" x14ac:dyDescent="0.35"/>
    <row r="223" s="124" customFormat="1" x14ac:dyDescent="0.35"/>
    <row r="224" s="124" customFormat="1" x14ac:dyDescent="0.35"/>
    <row r="225" s="124" customFormat="1" x14ac:dyDescent="0.35"/>
    <row r="226" s="124" customFormat="1" x14ac:dyDescent="0.35"/>
    <row r="227" s="124" customFormat="1" x14ac:dyDescent="0.35"/>
    <row r="228" s="124" customFormat="1" x14ac:dyDescent="0.35"/>
    <row r="229" s="124" customFormat="1" x14ac:dyDescent="0.35"/>
    <row r="230" s="124" customFormat="1" x14ac:dyDescent="0.35"/>
    <row r="231" s="124" customFormat="1" x14ac:dyDescent="0.35"/>
    <row r="232" s="124" customFormat="1" x14ac:dyDescent="0.35"/>
    <row r="233" s="124" customFormat="1" x14ac:dyDescent="0.35"/>
    <row r="234" s="124" customFormat="1" x14ac:dyDescent="0.35"/>
    <row r="235" s="124" customFormat="1" x14ac:dyDescent="0.35"/>
    <row r="236" s="124" customFormat="1" x14ac:dyDescent="0.35"/>
    <row r="237" s="124" customFormat="1" x14ac:dyDescent="0.35"/>
    <row r="238" s="124" customFormat="1" x14ac:dyDescent="0.35"/>
    <row r="239" s="124" customFormat="1" x14ac:dyDescent="0.35"/>
    <row r="240" s="124" customFormat="1" x14ac:dyDescent="0.35"/>
    <row r="241" s="124" customFormat="1" x14ac:dyDescent="0.35"/>
    <row r="242" s="124" customFormat="1" x14ac:dyDescent="0.35"/>
    <row r="243" s="124" customFormat="1" x14ac:dyDescent="0.35"/>
    <row r="244" s="124" customFormat="1" x14ac:dyDescent="0.35"/>
    <row r="245" s="124" customFormat="1" x14ac:dyDescent="0.35"/>
    <row r="246" s="124" customFormat="1" x14ac:dyDescent="0.35"/>
    <row r="247" s="124" customFormat="1" x14ac:dyDescent="0.35"/>
    <row r="248" s="124" customFormat="1" x14ac:dyDescent="0.35"/>
    <row r="249" s="124" customFormat="1" x14ac:dyDescent="0.35"/>
    <row r="250" s="124" customFormat="1" x14ac:dyDescent="0.35"/>
    <row r="251" s="124" customFormat="1" x14ac:dyDescent="0.35"/>
    <row r="252" s="124" customFormat="1" x14ac:dyDescent="0.35"/>
    <row r="253" s="124" customFormat="1" x14ac:dyDescent="0.35"/>
    <row r="254" s="124" customFormat="1" x14ac:dyDescent="0.35"/>
    <row r="255" s="124" customFormat="1" x14ac:dyDescent="0.35"/>
    <row r="256" s="124" customFormat="1" x14ac:dyDescent="0.35"/>
    <row r="257" s="124" customFormat="1" x14ac:dyDescent="0.35"/>
    <row r="258" s="124" customFormat="1" x14ac:dyDescent="0.35"/>
    <row r="259" s="124" customFormat="1" x14ac:dyDescent="0.35"/>
    <row r="260" s="124" customFormat="1" x14ac:dyDescent="0.35"/>
    <row r="261" s="124" customFormat="1" x14ac:dyDescent="0.35"/>
    <row r="262" s="124" customFormat="1" x14ac:dyDescent="0.35"/>
    <row r="263" s="124" customFormat="1" x14ac:dyDescent="0.35"/>
    <row r="264" s="124" customFormat="1" x14ac:dyDescent="0.35"/>
    <row r="265" s="124" customFormat="1" x14ac:dyDescent="0.35"/>
    <row r="266" s="124" customFormat="1" x14ac:dyDescent="0.35"/>
    <row r="267" s="124" customFormat="1" x14ac:dyDescent="0.35"/>
    <row r="268" s="124" customFormat="1" x14ac:dyDescent="0.35"/>
    <row r="269" s="124" customFormat="1" x14ac:dyDescent="0.35"/>
    <row r="270" s="124" customFormat="1" x14ac:dyDescent="0.35"/>
    <row r="271" s="124" customFormat="1" x14ac:dyDescent="0.35"/>
    <row r="272" s="124" customFormat="1" x14ac:dyDescent="0.35"/>
    <row r="273" s="124" customFormat="1" x14ac:dyDescent="0.35"/>
    <row r="274" s="124" customFormat="1" x14ac:dyDescent="0.35"/>
    <row r="275" s="124" customFormat="1" x14ac:dyDescent="0.35"/>
    <row r="276" s="124" customFormat="1" x14ac:dyDescent="0.35"/>
    <row r="277" s="124" customFormat="1" x14ac:dyDescent="0.35"/>
    <row r="278" s="124" customFormat="1" x14ac:dyDescent="0.35"/>
    <row r="279" s="124" customFormat="1" x14ac:dyDescent="0.35"/>
    <row r="280" s="124" customFormat="1" x14ac:dyDescent="0.35"/>
    <row r="281" s="124" customFormat="1" x14ac:dyDescent="0.35"/>
    <row r="282" s="124" customFormat="1" x14ac:dyDescent="0.35"/>
    <row r="283" s="124" customFormat="1" x14ac:dyDescent="0.35"/>
    <row r="284" s="124" customFormat="1" x14ac:dyDescent="0.35"/>
    <row r="285" s="124" customFormat="1" x14ac:dyDescent="0.35"/>
    <row r="286" s="124" customFormat="1" x14ac:dyDescent="0.35"/>
    <row r="287" s="124" customFormat="1" x14ac:dyDescent="0.35"/>
    <row r="288" s="124" customFormat="1" x14ac:dyDescent="0.35"/>
    <row r="289" s="124" customFormat="1" x14ac:dyDescent="0.35"/>
    <row r="290" s="124" customFormat="1" x14ac:dyDescent="0.35"/>
    <row r="291" s="124" customFormat="1" x14ac:dyDescent="0.35"/>
    <row r="292" s="124" customFormat="1" x14ac:dyDescent="0.35"/>
    <row r="293" s="124" customFormat="1" x14ac:dyDescent="0.35"/>
    <row r="294" s="124" customFormat="1" x14ac:dyDescent="0.35"/>
    <row r="295" s="124" customFormat="1" x14ac:dyDescent="0.35"/>
    <row r="296" s="124" customFormat="1" x14ac:dyDescent="0.35"/>
    <row r="297" s="124" customFormat="1" x14ac:dyDescent="0.35"/>
    <row r="298" s="124" customFormat="1" x14ac:dyDescent="0.35"/>
    <row r="299" s="124" customFormat="1" x14ac:dyDescent="0.35"/>
    <row r="300" s="124" customFormat="1" x14ac:dyDescent="0.35"/>
    <row r="301" s="124" customFormat="1" x14ac:dyDescent="0.35"/>
    <row r="302" s="124" customFormat="1" x14ac:dyDescent="0.35"/>
    <row r="303" s="124" customFormat="1" x14ac:dyDescent="0.35"/>
    <row r="304" s="124" customFormat="1" x14ac:dyDescent="0.35"/>
    <row r="305" s="124" customFormat="1" x14ac:dyDescent="0.35"/>
    <row r="306" s="124" customFormat="1" x14ac:dyDescent="0.35"/>
    <row r="307" s="124" customFormat="1" x14ac:dyDescent="0.35"/>
    <row r="308" s="124" customFormat="1" x14ac:dyDescent="0.35"/>
    <row r="309" s="124" customFormat="1" x14ac:dyDescent="0.35"/>
    <row r="310" s="124" customFormat="1" x14ac:dyDescent="0.35"/>
    <row r="311" s="124" customFormat="1" x14ac:dyDescent="0.35"/>
    <row r="312" s="124" customFormat="1" x14ac:dyDescent="0.35"/>
    <row r="313" s="124" customFormat="1" x14ac:dyDescent="0.35"/>
    <row r="314" s="124" customFormat="1" x14ac:dyDescent="0.35"/>
    <row r="315" s="124" customFormat="1" x14ac:dyDescent="0.35"/>
    <row r="316" s="124" customFormat="1" x14ac:dyDescent="0.35"/>
    <row r="317" s="124" customFormat="1" x14ac:dyDescent="0.35"/>
    <row r="318" s="124" customFormat="1" x14ac:dyDescent="0.35"/>
    <row r="319" s="124" customFormat="1" x14ac:dyDescent="0.35"/>
    <row r="320" s="124" customFormat="1" x14ac:dyDescent="0.35"/>
    <row r="321" s="124" customFormat="1" x14ac:dyDescent="0.35"/>
    <row r="322" s="124" customFormat="1" x14ac:dyDescent="0.35"/>
    <row r="323" s="124" customFormat="1" x14ac:dyDescent="0.35"/>
    <row r="324" s="124" customFormat="1" x14ac:dyDescent="0.35"/>
    <row r="325" s="124" customFormat="1" x14ac:dyDescent="0.35"/>
    <row r="326" s="124" customFormat="1" x14ac:dyDescent="0.35"/>
    <row r="327" s="124" customFormat="1" x14ac:dyDescent="0.35"/>
    <row r="328" s="124" customFormat="1" x14ac:dyDescent="0.35"/>
    <row r="329" s="124" customFormat="1" x14ac:dyDescent="0.35"/>
    <row r="330" s="124" customFormat="1" x14ac:dyDescent="0.35"/>
    <row r="331" s="124" customFormat="1" x14ac:dyDescent="0.35"/>
    <row r="332" s="124" customFormat="1" x14ac:dyDescent="0.35"/>
    <row r="333" s="124" customFormat="1" x14ac:dyDescent="0.35"/>
    <row r="334" s="124" customFormat="1" x14ac:dyDescent="0.35"/>
    <row r="335" s="124" customFormat="1" x14ac:dyDescent="0.35"/>
    <row r="336" s="124" customFormat="1" x14ac:dyDescent="0.35"/>
    <row r="337" s="124" customFormat="1" x14ac:dyDescent="0.35"/>
    <row r="338" s="124" customFormat="1" x14ac:dyDescent="0.35"/>
    <row r="339" s="124" customFormat="1" x14ac:dyDescent="0.35"/>
    <row r="340" s="124" customFormat="1" x14ac:dyDescent="0.35"/>
    <row r="341" s="124" customFormat="1" x14ac:dyDescent="0.35"/>
    <row r="342" s="124" customFormat="1" x14ac:dyDescent="0.35"/>
    <row r="343" s="124" customFormat="1" x14ac:dyDescent="0.35"/>
    <row r="344" s="124" customFormat="1" x14ac:dyDescent="0.35"/>
    <row r="345" s="124" customFormat="1" x14ac:dyDescent="0.35"/>
    <row r="346" s="124" customFormat="1" x14ac:dyDescent="0.35"/>
    <row r="347" s="124" customFormat="1" x14ac:dyDescent="0.35"/>
    <row r="348" s="124" customFormat="1" x14ac:dyDescent="0.35"/>
    <row r="349" s="124" customFormat="1" x14ac:dyDescent="0.35"/>
    <row r="350" s="124" customFormat="1" x14ac:dyDescent="0.35"/>
    <row r="351" s="124" customFormat="1" x14ac:dyDescent="0.35"/>
    <row r="352" s="124" customFormat="1" x14ac:dyDescent="0.35"/>
    <row r="353" s="124" customFormat="1" x14ac:dyDescent="0.35"/>
    <row r="354" s="124" customFormat="1" x14ac:dyDescent="0.35"/>
    <row r="355" s="124" customFormat="1" x14ac:dyDescent="0.35"/>
    <row r="356" s="124" customFormat="1" x14ac:dyDescent="0.35"/>
    <row r="357" s="124" customFormat="1" x14ac:dyDescent="0.35"/>
    <row r="358" s="124" customFormat="1" x14ac:dyDescent="0.35"/>
    <row r="359" s="124" customFormat="1" x14ac:dyDescent="0.35"/>
    <row r="360" s="124" customFormat="1" x14ac:dyDescent="0.35"/>
    <row r="361" s="124" customFormat="1" x14ac:dyDescent="0.35"/>
    <row r="362" s="124" customFormat="1" x14ac:dyDescent="0.35"/>
    <row r="363" s="124" customFormat="1" x14ac:dyDescent="0.35"/>
    <row r="364" s="124" customFormat="1" x14ac:dyDescent="0.35"/>
    <row r="365" s="124" customFormat="1" x14ac:dyDescent="0.35"/>
    <row r="366" s="124" customFormat="1" x14ac:dyDescent="0.35"/>
    <row r="367" s="124" customFormat="1" x14ac:dyDescent="0.35"/>
    <row r="368" s="124" customFormat="1" x14ac:dyDescent="0.35"/>
    <row r="369" s="124" customFormat="1" x14ac:dyDescent="0.35"/>
    <row r="370" s="124" customFormat="1" x14ac:dyDescent="0.35"/>
    <row r="371" s="124" customFormat="1" x14ac:dyDescent="0.35"/>
    <row r="372" s="124" customFormat="1" x14ac:dyDescent="0.35"/>
    <row r="373" s="124" customFormat="1" x14ac:dyDescent="0.35"/>
    <row r="374" s="124" customFormat="1" x14ac:dyDescent="0.35"/>
    <row r="375" s="124" customFormat="1" x14ac:dyDescent="0.35"/>
    <row r="376" s="124" customFormat="1" x14ac:dyDescent="0.35"/>
    <row r="377" s="124" customFormat="1" x14ac:dyDescent="0.35"/>
    <row r="378" s="124" customFormat="1" x14ac:dyDescent="0.35"/>
    <row r="379" s="124" customFormat="1" x14ac:dyDescent="0.35"/>
    <row r="380" s="124" customFormat="1" x14ac:dyDescent="0.35"/>
    <row r="381" s="124" customFormat="1" x14ac:dyDescent="0.35"/>
    <row r="382" s="124" customFormat="1" x14ac:dyDescent="0.35"/>
    <row r="383" s="124" customFormat="1" x14ac:dyDescent="0.35"/>
    <row r="384" s="124" customFormat="1" x14ac:dyDescent="0.35"/>
    <row r="385" s="124" customFormat="1" x14ac:dyDescent="0.35"/>
    <row r="386" s="124" customFormat="1" x14ac:dyDescent="0.35"/>
    <row r="387" s="124" customFormat="1" x14ac:dyDescent="0.35"/>
    <row r="388" s="124" customFormat="1" x14ac:dyDescent="0.35"/>
    <row r="389" s="124" customFormat="1" x14ac:dyDescent="0.35"/>
    <row r="390" s="124" customFormat="1" x14ac:dyDescent="0.35"/>
    <row r="391" s="124" customFormat="1" x14ac:dyDescent="0.35"/>
    <row r="392" s="124" customFormat="1" x14ac:dyDescent="0.35"/>
    <row r="393" s="124" customFormat="1" x14ac:dyDescent="0.35"/>
    <row r="394" s="124" customFormat="1" x14ac:dyDescent="0.35"/>
    <row r="395" s="124" customFormat="1" x14ac:dyDescent="0.35"/>
    <row r="396" s="124" customFormat="1" x14ac:dyDescent="0.35"/>
    <row r="397" s="124" customFormat="1" x14ac:dyDescent="0.35"/>
    <row r="398" s="124" customFormat="1" x14ac:dyDescent="0.35"/>
    <row r="399" s="124" customFormat="1" x14ac:dyDescent="0.35"/>
    <row r="400" s="124" customFormat="1" x14ac:dyDescent="0.35"/>
    <row r="401" s="124" customFormat="1" x14ac:dyDescent="0.35"/>
    <row r="402" s="124" customFormat="1" x14ac:dyDescent="0.35"/>
    <row r="403" s="124" customFormat="1" x14ac:dyDescent="0.35"/>
    <row r="404" s="124" customFormat="1" x14ac:dyDescent="0.35"/>
    <row r="405" s="124" customFormat="1" x14ac:dyDescent="0.35"/>
    <row r="406" s="124" customFormat="1" x14ac:dyDescent="0.35"/>
    <row r="407" s="124" customFormat="1" x14ac:dyDescent="0.35"/>
    <row r="408" s="124" customFormat="1" x14ac:dyDescent="0.35"/>
    <row r="409" s="124" customFormat="1" x14ac:dyDescent="0.35"/>
    <row r="410" s="124" customFormat="1" x14ac:dyDescent="0.35"/>
    <row r="411" s="124" customFormat="1" x14ac:dyDescent="0.35"/>
    <row r="412" s="124" customFormat="1" x14ac:dyDescent="0.35"/>
    <row r="413" s="124" customFormat="1" x14ac:dyDescent="0.35"/>
    <row r="414" s="124" customFormat="1" x14ac:dyDescent="0.35"/>
    <row r="415" s="124" customFormat="1" x14ac:dyDescent="0.35"/>
    <row r="416" s="124" customFormat="1" x14ac:dyDescent="0.35"/>
    <row r="417" s="124" customFormat="1" x14ac:dyDescent="0.35"/>
    <row r="418" s="124" customFormat="1" x14ac:dyDescent="0.35"/>
    <row r="419" s="124" customFormat="1" x14ac:dyDescent="0.35"/>
    <row r="420" s="124" customFormat="1" x14ac:dyDescent="0.35"/>
    <row r="421" s="124" customFormat="1" x14ac:dyDescent="0.35"/>
    <row r="422" s="124" customFormat="1" x14ac:dyDescent="0.35"/>
    <row r="423" s="124" customFormat="1" x14ac:dyDescent="0.35"/>
    <row r="424" s="124" customFormat="1" x14ac:dyDescent="0.35"/>
    <row r="425" s="124" customFormat="1" x14ac:dyDescent="0.35"/>
    <row r="426" s="124" customFormat="1" x14ac:dyDescent="0.35"/>
    <row r="427" s="124" customFormat="1" x14ac:dyDescent="0.35"/>
    <row r="428" s="124" customFormat="1" x14ac:dyDescent="0.35"/>
    <row r="429" s="124" customFormat="1" x14ac:dyDescent="0.35"/>
    <row r="430" s="124" customFormat="1" x14ac:dyDescent="0.35"/>
    <row r="431" s="124" customFormat="1" x14ac:dyDescent="0.35"/>
    <row r="432" s="124" customFormat="1" x14ac:dyDescent="0.35"/>
    <row r="433" s="124" customFormat="1" x14ac:dyDescent="0.35"/>
    <row r="434" s="124" customFormat="1" x14ac:dyDescent="0.35"/>
    <row r="435" s="124" customFormat="1" x14ac:dyDescent="0.35"/>
    <row r="436" s="124" customFormat="1" x14ac:dyDescent="0.35"/>
    <row r="437" s="124" customFormat="1" x14ac:dyDescent="0.35"/>
    <row r="438" s="124" customFormat="1" x14ac:dyDescent="0.35"/>
    <row r="439" s="124" customFormat="1" x14ac:dyDescent="0.35"/>
    <row r="440" s="124" customFormat="1" x14ac:dyDescent="0.35"/>
    <row r="441" s="124" customFormat="1" x14ac:dyDescent="0.35"/>
    <row r="442" s="124" customFormat="1" x14ac:dyDescent="0.35"/>
    <row r="443" s="124" customFormat="1" x14ac:dyDescent="0.35"/>
    <row r="444" s="124" customFormat="1" x14ac:dyDescent="0.35"/>
    <row r="445" s="124" customFormat="1" x14ac:dyDescent="0.35"/>
    <row r="446" s="124" customFormat="1" x14ac:dyDescent="0.35"/>
    <row r="447" s="124" customFormat="1" x14ac:dyDescent="0.35"/>
    <row r="448" s="124" customFormat="1" x14ac:dyDescent="0.35"/>
    <row r="449" s="124" customFormat="1" x14ac:dyDescent="0.35"/>
    <row r="450" s="124" customFormat="1" x14ac:dyDescent="0.35"/>
    <row r="451" s="124" customFormat="1" x14ac:dyDescent="0.35"/>
    <row r="452" s="124" customFormat="1" x14ac:dyDescent="0.35"/>
    <row r="453" s="124" customFormat="1" x14ac:dyDescent="0.35"/>
    <row r="454" s="124" customFormat="1" x14ac:dyDescent="0.35"/>
    <row r="455" s="124" customFormat="1" x14ac:dyDescent="0.35"/>
    <row r="456" s="124" customFormat="1" x14ac:dyDescent="0.35"/>
    <row r="457" s="124" customFormat="1" x14ac:dyDescent="0.35"/>
    <row r="458" s="124" customFormat="1" x14ac:dyDescent="0.35"/>
    <row r="459" s="124" customFormat="1" x14ac:dyDescent="0.35"/>
    <row r="460" s="124" customFormat="1" x14ac:dyDescent="0.35"/>
    <row r="461" s="124" customFormat="1" x14ac:dyDescent="0.35"/>
    <row r="462" s="124" customFormat="1" x14ac:dyDescent="0.35"/>
    <row r="463" s="124" customFormat="1" x14ac:dyDescent="0.35"/>
    <row r="464" s="124" customFormat="1" x14ac:dyDescent="0.35"/>
    <row r="465" s="124" customFormat="1" x14ac:dyDescent="0.35"/>
    <row r="466" s="124" customFormat="1" x14ac:dyDescent="0.35"/>
    <row r="467" s="124" customFormat="1" x14ac:dyDescent="0.35"/>
    <row r="468" s="124" customFormat="1" x14ac:dyDescent="0.35"/>
    <row r="469" s="124" customFormat="1" x14ac:dyDescent="0.35"/>
    <row r="470" s="124" customFormat="1" x14ac:dyDescent="0.35"/>
    <row r="471" s="124" customFormat="1" x14ac:dyDescent="0.35"/>
    <row r="472" s="124" customFormat="1" x14ac:dyDescent="0.35"/>
    <row r="473" s="124" customFormat="1" x14ac:dyDescent="0.35"/>
    <row r="474" s="124" customFormat="1" x14ac:dyDescent="0.35"/>
    <row r="475" s="124" customFormat="1" x14ac:dyDescent="0.35"/>
    <row r="476" s="124" customFormat="1" x14ac:dyDescent="0.35"/>
    <row r="477" s="124" customFormat="1" x14ac:dyDescent="0.35"/>
    <row r="478" s="124" customFormat="1" x14ac:dyDescent="0.35"/>
    <row r="479" s="124" customFormat="1" x14ac:dyDescent="0.35"/>
    <row r="480" s="124" customFormat="1" x14ac:dyDescent="0.35"/>
    <row r="481" s="124" customFormat="1" x14ac:dyDescent="0.35"/>
    <row r="482" s="124" customFormat="1" x14ac:dyDescent="0.35"/>
    <row r="483" s="124" customFormat="1" x14ac:dyDescent="0.35"/>
    <row r="484" s="124" customFormat="1" x14ac:dyDescent="0.35"/>
    <row r="485" s="124" customFormat="1" x14ac:dyDescent="0.35"/>
    <row r="486" s="124" customFormat="1" x14ac:dyDescent="0.35"/>
    <row r="487" s="124" customFormat="1" x14ac:dyDescent="0.35"/>
    <row r="488" s="124" customFormat="1" x14ac:dyDescent="0.35"/>
    <row r="489" s="124" customFormat="1" x14ac:dyDescent="0.35"/>
    <row r="490" s="124" customFormat="1" x14ac:dyDescent="0.35"/>
    <row r="491" s="124" customFormat="1" x14ac:dyDescent="0.35"/>
    <row r="492" s="124" customFormat="1" x14ac:dyDescent="0.35"/>
    <row r="493" s="124" customFormat="1" x14ac:dyDescent="0.35"/>
    <row r="494" s="124" customFormat="1" x14ac:dyDescent="0.35"/>
    <row r="495" s="124" customFormat="1" x14ac:dyDescent="0.35"/>
    <row r="496" s="124" customFormat="1" x14ac:dyDescent="0.35"/>
    <row r="497" s="124" customFormat="1" x14ac:dyDescent="0.35"/>
    <row r="498" s="124" customFormat="1" x14ac:dyDescent="0.35"/>
    <row r="499" s="124" customFormat="1" x14ac:dyDescent="0.35"/>
    <row r="500" s="124" customFormat="1" x14ac:dyDescent="0.35"/>
    <row r="501" s="124" customFormat="1" x14ac:dyDescent="0.35"/>
    <row r="502" s="124" customFormat="1" x14ac:dyDescent="0.35"/>
    <row r="503" s="124" customFormat="1" x14ac:dyDescent="0.35"/>
    <row r="504" s="124" customFormat="1" x14ac:dyDescent="0.35"/>
    <row r="505" s="124" customFormat="1" x14ac:dyDescent="0.35"/>
    <row r="506" s="124" customFormat="1" x14ac:dyDescent="0.35"/>
    <row r="507" s="124" customFormat="1" x14ac:dyDescent="0.35"/>
    <row r="508" s="124" customFormat="1" x14ac:dyDescent="0.35"/>
    <row r="509" s="124" customFormat="1" x14ac:dyDescent="0.35"/>
    <row r="510" s="124" customFormat="1" x14ac:dyDescent="0.35"/>
    <row r="511" s="124" customFormat="1" x14ac:dyDescent="0.35"/>
    <row r="512" s="124" customFormat="1" x14ac:dyDescent="0.35"/>
    <row r="513" s="124" customFormat="1" x14ac:dyDescent="0.35"/>
    <row r="514" s="124" customFormat="1" x14ac:dyDescent="0.35"/>
    <row r="515" s="124" customFormat="1" x14ac:dyDescent="0.35"/>
    <row r="516" s="124" customFormat="1" x14ac:dyDescent="0.35"/>
    <row r="517" s="124" customFormat="1" x14ac:dyDescent="0.35"/>
    <row r="518" s="124" customFormat="1" x14ac:dyDescent="0.35"/>
    <row r="519" s="124" customFormat="1" x14ac:dyDescent="0.35"/>
    <row r="520" s="124" customFormat="1" x14ac:dyDescent="0.35"/>
    <row r="521" s="124" customFormat="1" x14ac:dyDescent="0.35"/>
    <row r="522" s="124" customFormat="1" x14ac:dyDescent="0.35"/>
    <row r="523" s="124" customFormat="1" x14ac:dyDescent="0.35"/>
    <row r="524" s="124" customFormat="1" x14ac:dyDescent="0.35"/>
    <row r="525" s="124" customFormat="1" x14ac:dyDescent="0.35"/>
    <row r="526" s="124" customFormat="1" x14ac:dyDescent="0.35"/>
    <row r="527" s="124" customFormat="1" x14ac:dyDescent="0.35"/>
    <row r="528" s="124" customFormat="1" x14ac:dyDescent="0.35"/>
    <row r="529" s="124" customFormat="1" x14ac:dyDescent="0.35"/>
    <row r="530" s="124" customFormat="1" x14ac:dyDescent="0.35"/>
    <row r="531" s="124" customFormat="1" x14ac:dyDescent="0.35"/>
    <row r="532" s="124" customFormat="1" x14ac:dyDescent="0.35"/>
    <row r="533" s="124" customFormat="1" x14ac:dyDescent="0.35"/>
    <row r="534" s="124" customFormat="1" x14ac:dyDescent="0.35"/>
    <row r="535" s="124" customFormat="1" x14ac:dyDescent="0.35"/>
    <row r="536" s="124" customFormat="1" x14ac:dyDescent="0.35"/>
    <row r="537" s="124" customFormat="1" x14ac:dyDescent="0.35"/>
    <row r="538" s="124" customFormat="1" x14ac:dyDescent="0.35"/>
    <row r="539" s="124" customFormat="1" x14ac:dyDescent="0.35"/>
    <row r="540" s="124" customFormat="1" x14ac:dyDescent="0.35"/>
    <row r="541" s="124" customFormat="1" x14ac:dyDescent="0.35"/>
    <row r="542" s="124" customFormat="1" x14ac:dyDescent="0.35"/>
    <row r="543" s="124" customFormat="1" x14ac:dyDescent="0.35"/>
    <row r="544" s="124" customFormat="1" x14ac:dyDescent="0.35"/>
    <row r="545" s="124" customFormat="1" x14ac:dyDescent="0.35"/>
    <row r="546" s="124" customFormat="1" x14ac:dyDescent="0.35"/>
    <row r="547" s="124" customFormat="1" x14ac:dyDescent="0.35"/>
    <row r="548" s="124" customFormat="1" x14ac:dyDescent="0.35"/>
    <row r="549" s="124" customFormat="1" x14ac:dyDescent="0.35"/>
    <row r="550" s="124" customFormat="1" x14ac:dyDescent="0.35"/>
    <row r="551" s="124" customFormat="1" x14ac:dyDescent="0.35"/>
    <row r="552" s="124" customFormat="1" x14ac:dyDescent="0.35"/>
    <row r="553" s="124" customFormat="1" x14ac:dyDescent="0.35"/>
    <row r="554" s="124" customFormat="1" x14ac:dyDescent="0.35"/>
    <row r="555" s="124" customFormat="1" x14ac:dyDescent="0.35"/>
    <row r="556" s="124" customFormat="1" x14ac:dyDescent="0.35"/>
    <row r="557" s="124" customFormat="1" x14ac:dyDescent="0.35"/>
    <row r="558" s="124" customFormat="1" x14ac:dyDescent="0.35"/>
    <row r="559" s="124" customFormat="1" x14ac:dyDescent="0.35"/>
    <row r="560" s="124" customFormat="1" x14ac:dyDescent="0.35"/>
    <row r="561" s="124" customFormat="1" x14ac:dyDescent="0.35"/>
    <row r="562" s="124" customFormat="1" x14ac:dyDescent="0.35"/>
    <row r="563" s="124" customFormat="1" x14ac:dyDescent="0.35"/>
    <row r="564" s="124" customFormat="1" x14ac:dyDescent="0.35"/>
    <row r="565" s="124" customFormat="1" x14ac:dyDescent="0.35"/>
    <row r="566" s="124" customFormat="1" x14ac:dyDescent="0.35"/>
    <row r="567" s="124" customFormat="1" x14ac:dyDescent="0.35"/>
    <row r="568" s="124" customFormat="1" x14ac:dyDescent="0.35"/>
    <row r="569" s="124" customFormat="1" x14ac:dyDescent="0.35"/>
    <row r="570" s="124" customFormat="1" x14ac:dyDescent="0.35"/>
    <row r="571" s="124" customFormat="1" x14ac:dyDescent="0.35"/>
    <row r="572" s="124" customFormat="1" x14ac:dyDescent="0.35"/>
    <row r="573" s="124" customFormat="1" x14ac:dyDescent="0.35"/>
    <row r="574" s="124" customFormat="1" x14ac:dyDescent="0.35"/>
    <row r="575" s="124" customFormat="1" x14ac:dyDescent="0.35"/>
    <row r="576" s="124" customFormat="1" x14ac:dyDescent="0.35"/>
    <row r="577" s="124" customFormat="1" x14ac:dyDescent="0.35"/>
    <row r="578" s="124" customFormat="1" x14ac:dyDescent="0.35"/>
    <row r="579" s="124" customFormat="1" x14ac:dyDescent="0.35"/>
    <row r="580" s="124" customFormat="1" x14ac:dyDescent="0.35"/>
    <row r="581" s="124" customFormat="1" x14ac:dyDescent="0.35"/>
    <row r="582" s="124" customFormat="1" x14ac:dyDescent="0.35"/>
    <row r="583" s="124" customFormat="1" x14ac:dyDescent="0.35"/>
    <row r="584" s="124" customFormat="1" x14ac:dyDescent="0.35"/>
    <row r="585" s="124" customFormat="1" x14ac:dyDescent="0.35"/>
    <row r="586" s="124" customFormat="1" x14ac:dyDescent="0.35"/>
    <row r="587" s="124" customFormat="1" x14ac:dyDescent="0.35"/>
    <row r="588" s="124" customFormat="1" x14ac:dyDescent="0.35"/>
    <row r="589" s="124" customFormat="1" x14ac:dyDescent="0.35"/>
    <row r="590" s="124" customFormat="1" x14ac:dyDescent="0.35"/>
    <row r="591" s="124" customFormat="1" x14ac:dyDescent="0.35"/>
    <row r="592" s="124" customFormat="1" x14ac:dyDescent="0.35"/>
    <row r="593" s="124" customFormat="1" x14ac:dyDescent="0.35"/>
    <row r="594" s="124" customFormat="1" x14ac:dyDescent="0.35"/>
    <row r="595" s="124" customFormat="1" x14ac:dyDescent="0.35"/>
    <row r="596" s="124" customFormat="1" x14ac:dyDescent="0.35"/>
    <row r="597" s="124" customFormat="1" x14ac:dyDescent="0.35"/>
    <row r="598" s="124" customFormat="1" x14ac:dyDescent="0.35"/>
    <row r="599" s="124" customFormat="1" x14ac:dyDescent="0.35"/>
    <row r="600" s="124" customFormat="1" x14ac:dyDescent="0.35"/>
    <row r="601" s="124" customFormat="1" x14ac:dyDescent="0.35"/>
    <row r="602" s="124" customFormat="1" x14ac:dyDescent="0.35"/>
    <row r="603" s="124" customFormat="1" x14ac:dyDescent="0.35"/>
    <row r="604" s="124" customFormat="1" x14ac:dyDescent="0.35"/>
    <row r="605" s="124" customFormat="1" x14ac:dyDescent="0.35"/>
    <row r="606" s="124" customFormat="1" x14ac:dyDescent="0.35"/>
    <row r="607" s="124" customFormat="1" x14ac:dyDescent="0.35"/>
    <row r="608" s="124" customFormat="1" x14ac:dyDescent="0.35"/>
    <row r="609" s="124" customFormat="1" x14ac:dyDescent="0.35"/>
    <row r="610" s="124" customFormat="1" x14ac:dyDescent="0.35"/>
    <row r="611" s="124" customFormat="1" x14ac:dyDescent="0.35"/>
    <row r="612" s="124" customFormat="1" x14ac:dyDescent="0.35"/>
    <row r="613" s="124" customFormat="1" x14ac:dyDescent="0.35"/>
    <row r="614" s="124" customFormat="1" x14ac:dyDescent="0.35"/>
    <row r="615" s="124" customFormat="1" x14ac:dyDescent="0.35"/>
    <row r="616" s="124" customFormat="1" x14ac:dyDescent="0.35"/>
  </sheetData>
  <mergeCells count="11">
    <mergeCell ref="K3:K4"/>
    <mergeCell ref="C1:K1"/>
    <mergeCell ref="A2:A4"/>
    <mergeCell ref="B2:B4"/>
    <mergeCell ref="D2:I2"/>
    <mergeCell ref="C3:C4"/>
    <mergeCell ref="D3:D4"/>
    <mergeCell ref="E3:E4"/>
    <mergeCell ref="H3:H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0" man="1"/>
    <brk id="8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травень15</vt:lpstr>
      <vt:lpstr>29.05.15зм</vt:lpstr>
      <vt:lpstr>22.05.15зм</vt:lpstr>
      <vt:lpstr>15.05.15зм</vt:lpstr>
      <vt:lpstr>08.05.15зм </vt:lpstr>
      <vt:lpstr>24 квітня15 зі зм</vt:lpstr>
      <vt:lpstr>берез зі змінами 15</vt:lpstr>
      <vt:lpstr>березень15</vt:lpstr>
      <vt:lpstr>'08.05.15зм '!Заголовки_для_печати</vt:lpstr>
      <vt:lpstr>'15.05.15зм'!Заголовки_для_печати</vt:lpstr>
      <vt:lpstr>'22.05.15зм'!Заголовки_для_печати</vt:lpstr>
      <vt:lpstr>'24 квітня15 зі зм'!Заголовки_для_печати</vt:lpstr>
      <vt:lpstr>'29.05.15зм'!Заголовки_для_печати</vt:lpstr>
      <vt:lpstr>'берез зі змінами 15'!Заголовки_для_печати</vt:lpstr>
      <vt:lpstr>березень15!Заголовки_для_печати</vt:lpstr>
      <vt:lpstr>травень15!Заголовки_для_печати</vt:lpstr>
      <vt:lpstr>'08.05.15зм '!Область_печати</vt:lpstr>
      <vt:lpstr>'15.05.15зм'!Область_печати</vt:lpstr>
      <vt:lpstr>'22.05.15зм'!Область_печати</vt:lpstr>
      <vt:lpstr>'24 квітня15 зі зм'!Область_печати</vt:lpstr>
      <vt:lpstr>'29.05.15зм'!Область_печати</vt:lpstr>
      <vt:lpstr>'берез зі змінами 15'!Область_печати</vt:lpstr>
      <vt:lpstr>березень15!Область_печати</vt:lpstr>
      <vt:lpstr>травень15!Область_печати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10</cp:lastModifiedBy>
  <cp:lastPrinted>2015-06-04T09:43:57Z</cp:lastPrinted>
  <dcterms:created xsi:type="dcterms:W3CDTF">2015-04-23T10:52:57Z</dcterms:created>
  <dcterms:modified xsi:type="dcterms:W3CDTF">2015-06-19T12:27:26Z</dcterms:modified>
</cp:coreProperties>
</file>