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\Desktop\"/>
    </mc:Choice>
  </mc:AlternateContent>
  <bookViews>
    <workbookView xWindow="0" yWindow="0" windowWidth="15330" windowHeight="7080"/>
  </bookViews>
  <sheets>
    <sheet name="порівняння за листопад" sheetId="1" r:id="rId1"/>
  </sheets>
  <definedNames>
    <definedName name="_xlnm.Print_Area" localSheetId="0">'порівняння за листопад'!$A$1:$L$111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9" i="1" l="1"/>
  <c r="C109" i="1"/>
  <c r="I96" i="1"/>
  <c r="J96" i="1" s="1"/>
  <c r="F96" i="1"/>
  <c r="L96" i="1" s="1"/>
  <c r="I93" i="1"/>
  <c r="K93" i="1" s="1"/>
  <c r="D93" i="1"/>
  <c r="E93" i="1" s="1"/>
  <c r="L92" i="1"/>
  <c r="K92" i="1"/>
  <c r="J92" i="1"/>
  <c r="G92" i="1"/>
  <c r="D92" i="1"/>
  <c r="E92" i="1" s="1"/>
  <c r="L91" i="1"/>
  <c r="K91" i="1"/>
  <c r="J91" i="1"/>
  <c r="G91" i="1"/>
  <c r="D91" i="1"/>
  <c r="E91" i="1" s="1"/>
  <c r="L90" i="1"/>
  <c r="K90" i="1"/>
  <c r="J90" i="1"/>
  <c r="G90" i="1"/>
  <c r="D90" i="1"/>
  <c r="E90" i="1" s="1"/>
  <c r="L89" i="1"/>
  <c r="K89" i="1"/>
  <c r="J89" i="1"/>
  <c r="G89" i="1"/>
  <c r="D89" i="1"/>
  <c r="E89" i="1" s="1"/>
  <c r="L88" i="1"/>
  <c r="K88" i="1"/>
  <c r="J88" i="1"/>
  <c r="G88" i="1"/>
  <c r="D88" i="1"/>
  <c r="E88" i="1" s="1"/>
  <c r="L87" i="1"/>
  <c r="K87" i="1"/>
  <c r="J87" i="1"/>
  <c r="G87" i="1"/>
  <c r="D87" i="1"/>
  <c r="E87" i="1" s="1"/>
  <c r="L86" i="1"/>
  <c r="K86" i="1"/>
  <c r="J86" i="1"/>
  <c r="G86" i="1"/>
  <c r="D86" i="1"/>
  <c r="E86" i="1" s="1"/>
  <c r="L85" i="1"/>
  <c r="K85" i="1"/>
  <c r="J85" i="1"/>
  <c r="G85" i="1"/>
  <c r="D85" i="1"/>
  <c r="E85" i="1" s="1"/>
  <c r="L84" i="1"/>
  <c r="K84" i="1"/>
  <c r="J84" i="1"/>
  <c r="G84" i="1"/>
  <c r="D84" i="1"/>
  <c r="E84" i="1" s="1"/>
  <c r="L83" i="1"/>
  <c r="K83" i="1"/>
  <c r="J83" i="1"/>
  <c r="G83" i="1"/>
  <c r="D83" i="1"/>
  <c r="E83" i="1" s="1"/>
  <c r="L82" i="1"/>
  <c r="K82" i="1"/>
  <c r="J82" i="1"/>
  <c r="G82" i="1"/>
  <c r="D82" i="1"/>
  <c r="E82" i="1" s="1"/>
  <c r="L81" i="1"/>
  <c r="K81" i="1"/>
  <c r="J81" i="1"/>
  <c r="G81" i="1"/>
  <c r="D81" i="1"/>
  <c r="E81" i="1" s="1"/>
  <c r="L80" i="1"/>
  <c r="K80" i="1"/>
  <c r="J80" i="1"/>
  <c r="G80" i="1"/>
  <c r="D80" i="1"/>
  <c r="E80" i="1" s="1"/>
  <c r="L79" i="1"/>
  <c r="K79" i="1"/>
  <c r="J79" i="1"/>
  <c r="G79" i="1"/>
  <c r="D79" i="1"/>
  <c r="E79" i="1" s="1"/>
  <c r="L78" i="1"/>
  <c r="K78" i="1"/>
  <c r="J78" i="1"/>
  <c r="G78" i="1"/>
  <c r="D78" i="1"/>
  <c r="E78" i="1" s="1"/>
  <c r="L77" i="1"/>
  <c r="K77" i="1"/>
  <c r="J77" i="1"/>
  <c r="G77" i="1"/>
  <c r="D77" i="1"/>
  <c r="E77" i="1" s="1"/>
  <c r="L76" i="1"/>
  <c r="K76" i="1"/>
  <c r="J76" i="1"/>
  <c r="G76" i="1"/>
  <c r="D76" i="1"/>
  <c r="E76" i="1" s="1"/>
  <c r="L75" i="1"/>
  <c r="K75" i="1"/>
  <c r="J75" i="1"/>
  <c r="G75" i="1"/>
  <c r="D75" i="1"/>
  <c r="E75" i="1" s="1"/>
  <c r="L74" i="1"/>
  <c r="K74" i="1"/>
  <c r="J74" i="1"/>
  <c r="G74" i="1"/>
  <c r="D74" i="1"/>
  <c r="E74" i="1" s="1"/>
  <c r="L73" i="1"/>
  <c r="K73" i="1"/>
  <c r="J73" i="1"/>
  <c r="G73" i="1"/>
  <c r="E73" i="1"/>
  <c r="D73" i="1"/>
  <c r="L72" i="1"/>
  <c r="K72" i="1"/>
  <c r="J72" i="1"/>
  <c r="G72" i="1"/>
  <c r="D72" i="1"/>
  <c r="E72" i="1" s="1"/>
  <c r="L71" i="1"/>
  <c r="K71" i="1"/>
  <c r="J71" i="1"/>
  <c r="G71" i="1"/>
  <c r="D71" i="1"/>
  <c r="E71" i="1" s="1"/>
  <c r="L70" i="1"/>
  <c r="K70" i="1"/>
  <c r="J70" i="1"/>
  <c r="G70" i="1"/>
  <c r="D70" i="1"/>
  <c r="E70" i="1" s="1"/>
  <c r="L69" i="1"/>
  <c r="K69" i="1"/>
  <c r="J69" i="1"/>
  <c r="G69" i="1"/>
  <c r="D69" i="1"/>
  <c r="E69" i="1" s="1"/>
  <c r="L68" i="1"/>
  <c r="K68" i="1"/>
  <c r="J68" i="1"/>
  <c r="G68" i="1"/>
  <c r="D68" i="1"/>
  <c r="E68" i="1" s="1"/>
  <c r="K67" i="1"/>
  <c r="I67" i="1"/>
  <c r="J67" i="1" s="1"/>
  <c r="G67" i="1"/>
  <c r="F67" i="1"/>
  <c r="L67" i="1" s="1"/>
  <c r="D67" i="1"/>
  <c r="E67" i="1" s="1"/>
  <c r="J66" i="1"/>
  <c r="I66" i="1"/>
  <c r="F66" i="1"/>
  <c r="E66" i="1"/>
  <c r="D66" i="1"/>
  <c r="J65" i="1"/>
  <c r="I65" i="1"/>
  <c r="F65" i="1"/>
  <c r="G65" i="1" s="1"/>
  <c r="E65" i="1"/>
  <c r="D65" i="1"/>
  <c r="I64" i="1"/>
  <c r="H64" i="1"/>
  <c r="J64" i="1" s="1"/>
  <c r="D64" i="1"/>
  <c r="E64" i="1" s="1"/>
  <c r="C64" i="1"/>
  <c r="I63" i="1"/>
  <c r="L63" i="1" s="1"/>
  <c r="G63" i="1"/>
  <c r="F63" i="1"/>
  <c r="D63" i="1"/>
  <c r="E63" i="1" s="1"/>
  <c r="J62" i="1"/>
  <c r="I62" i="1"/>
  <c r="L62" i="1" s="1"/>
  <c r="G62" i="1"/>
  <c r="F62" i="1"/>
  <c r="K62" i="1" s="1"/>
  <c r="E62" i="1"/>
  <c r="D62" i="1"/>
  <c r="I61" i="1"/>
  <c r="J61" i="1" s="1"/>
  <c r="H61" i="1"/>
  <c r="F61" i="1"/>
  <c r="D61" i="1"/>
  <c r="C61" i="1"/>
  <c r="K60" i="1"/>
  <c r="D60" i="1"/>
  <c r="I59" i="1"/>
  <c r="J59" i="1" s="1"/>
  <c r="G59" i="1"/>
  <c r="F59" i="1"/>
  <c r="K58" i="1"/>
  <c r="J58" i="1"/>
  <c r="I58" i="1"/>
  <c r="F58" i="1"/>
  <c r="I57" i="1"/>
  <c r="J57" i="1" s="1"/>
  <c r="G57" i="1"/>
  <c r="F57" i="1"/>
  <c r="K56" i="1"/>
  <c r="J56" i="1"/>
  <c r="I56" i="1"/>
  <c r="F56" i="1"/>
  <c r="I55" i="1"/>
  <c r="J55" i="1" s="1"/>
  <c r="G55" i="1"/>
  <c r="F55" i="1"/>
  <c r="K54" i="1"/>
  <c r="K53" i="1"/>
  <c r="J53" i="1"/>
  <c r="F53" i="1"/>
  <c r="G53" i="1" s="1"/>
  <c r="K52" i="1"/>
  <c r="I52" i="1"/>
  <c r="J52" i="1" s="1"/>
  <c r="F52" i="1"/>
  <c r="F50" i="1" s="1"/>
  <c r="G50" i="1" s="1"/>
  <c r="I51" i="1"/>
  <c r="I50" i="1" s="1"/>
  <c r="F51" i="1"/>
  <c r="H50" i="1"/>
  <c r="H49" i="1" s="1"/>
  <c r="E50" i="1"/>
  <c r="D50" i="1"/>
  <c r="C50" i="1"/>
  <c r="C49" i="1" s="1"/>
  <c r="D49" i="1" s="1"/>
  <c r="E49" i="1" s="1"/>
  <c r="F49" i="1"/>
  <c r="L48" i="1"/>
  <c r="K48" i="1"/>
  <c r="J48" i="1"/>
  <c r="G48" i="1"/>
  <c r="D48" i="1"/>
  <c r="E48" i="1" s="1"/>
  <c r="I47" i="1"/>
  <c r="J47" i="1" s="1"/>
  <c r="F47" i="1"/>
  <c r="D47" i="1"/>
  <c r="E47" i="1" s="1"/>
  <c r="J46" i="1"/>
  <c r="I46" i="1"/>
  <c r="F46" i="1"/>
  <c r="L46" i="1" s="1"/>
  <c r="D46" i="1"/>
  <c r="K45" i="1"/>
  <c r="I45" i="1"/>
  <c r="D45" i="1"/>
  <c r="E45" i="1" s="1"/>
  <c r="I44" i="1"/>
  <c r="J44" i="1" s="1"/>
  <c r="H44" i="1"/>
  <c r="F44" i="1"/>
  <c r="C44" i="1"/>
  <c r="C38" i="1" s="1"/>
  <c r="L43" i="1"/>
  <c r="K43" i="1"/>
  <c r="J43" i="1"/>
  <c r="G43" i="1"/>
  <c r="E43" i="1"/>
  <c r="D43" i="1"/>
  <c r="L42" i="1"/>
  <c r="K42" i="1"/>
  <c r="J42" i="1"/>
  <c r="G42" i="1"/>
  <c r="D42" i="1"/>
  <c r="E42" i="1" s="1"/>
  <c r="I41" i="1"/>
  <c r="J41" i="1" s="1"/>
  <c r="G41" i="1"/>
  <c r="F41" i="1"/>
  <c r="D41" i="1"/>
  <c r="E41" i="1" s="1"/>
  <c r="H40" i="1"/>
  <c r="F40" i="1"/>
  <c r="D40" i="1"/>
  <c r="C40" i="1"/>
  <c r="H39" i="1"/>
  <c r="F39" i="1"/>
  <c r="C39" i="1"/>
  <c r="D39" i="1" s="1"/>
  <c r="E39" i="1" s="1"/>
  <c r="H38" i="1"/>
  <c r="F38" i="1"/>
  <c r="J36" i="1"/>
  <c r="I36" i="1"/>
  <c r="F36" i="1"/>
  <c r="G36" i="1" s="1"/>
  <c r="D36" i="1"/>
  <c r="J35" i="1"/>
  <c r="I35" i="1"/>
  <c r="H35" i="1"/>
  <c r="D35" i="1"/>
  <c r="C35" i="1"/>
  <c r="J34" i="1"/>
  <c r="I34" i="1"/>
  <c r="F34" i="1"/>
  <c r="D34" i="1"/>
  <c r="J33" i="1"/>
  <c r="I33" i="1"/>
  <c r="F33" i="1"/>
  <c r="I32" i="1"/>
  <c r="G32" i="1"/>
  <c r="F32" i="1"/>
  <c r="K32" i="1" s="1"/>
  <c r="D32" i="1"/>
  <c r="H31" i="1"/>
  <c r="H110" i="1" s="1"/>
  <c r="C31" i="1"/>
  <c r="L30" i="1"/>
  <c r="I30" i="1"/>
  <c r="F30" i="1"/>
  <c r="K30" i="1" s="1"/>
  <c r="K29" i="1"/>
  <c r="I29" i="1"/>
  <c r="J29" i="1" s="1"/>
  <c r="G29" i="1"/>
  <c r="F29" i="1"/>
  <c r="D29" i="1"/>
  <c r="E29" i="1" s="1"/>
  <c r="K28" i="1"/>
  <c r="I28" i="1"/>
  <c r="J28" i="1" s="1"/>
  <c r="F28" i="1"/>
  <c r="L28" i="1" s="1"/>
  <c r="D28" i="1"/>
  <c r="E28" i="1" s="1"/>
  <c r="K27" i="1"/>
  <c r="I26" i="1"/>
  <c r="J26" i="1" s="1"/>
  <c r="G26" i="1"/>
  <c r="F26" i="1"/>
  <c r="K25" i="1"/>
  <c r="J25" i="1"/>
  <c r="I25" i="1"/>
  <c r="F25" i="1"/>
  <c r="I24" i="1"/>
  <c r="H24" i="1"/>
  <c r="H14" i="1" s="1"/>
  <c r="E24" i="1"/>
  <c r="D24" i="1"/>
  <c r="C24" i="1"/>
  <c r="K23" i="1"/>
  <c r="I23" i="1"/>
  <c r="F23" i="1"/>
  <c r="L23" i="1" s="1"/>
  <c r="I22" i="1"/>
  <c r="K22" i="1" s="1"/>
  <c r="F22" i="1"/>
  <c r="I21" i="1"/>
  <c r="F21" i="1"/>
  <c r="K21" i="1" s="1"/>
  <c r="K20" i="1"/>
  <c r="F20" i="1"/>
  <c r="K19" i="1"/>
  <c r="J19" i="1"/>
  <c r="I19" i="1"/>
  <c r="F19" i="1"/>
  <c r="L19" i="1" s="1"/>
  <c r="I18" i="1"/>
  <c r="G18" i="1"/>
  <c r="F18" i="1"/>
  <c r="H17" i="1"/>
  <c r="F17" i="1"/>
  <c r="G17" i="1" s="1"/>
  <c r="E17" i="1"/>
  <c r="D17" i="1"/>
  <c r="C17" i="1"/>
  <c r="L16" i="1"/>
  <c r="F16" i="1"/>
  <c r="K16" i="1" s="1"/>
  <c r="L15" i="1"/>
  <c r="K15" i="1"/>
  <c r="J15" i="1"/>
  <c r="G15" i="1"/>
  <c r="C14" i="1"/>
  <c r="D14" i="1" s="1"/>
  <c r="E14" i="1" s="1"/>
  <c r="L13" i="1"/>
  <c r="K13" i="1"/>
  <c r="J13" i="1"/>
  <c r="G13" i="1"/>
  <c r="D13" i="1"/>
  <c r="E13" i="1" s="1"/>
  <c r="L12" i="1"/>
  <c r="K12" i="1"/>
  <c r="J12" i="1"/>
  <c r="G12" i="1"/>
  <c r="E12" i="1"/>
  <c r="D12" i="1"/>
  <c r="L11" i="1"/>
  <c r="K11" i="1"/>
  <c r="J11" i="1"/>
  <c r="G11" i="1"/>
  <c r="D11" i="1"/>
  <c r="E11" i="1" s="1"/>
  <c r="K10" i="1"/>
  <c r="I10" i="1"/>
  <c r="J10" i="1" s="1"/>
  <c r="F10" i="1"/>
  <c r="G10" i="1" s="1"/>
  <c r="D10" i="1"/>
  <c r="L9" i="1"/>
  <c r="K9" i="1"/>
  <c r="I9" i="1"/>
  <c r="F9" i="1"/>
  <c r="K8" i="1"/>
  <c r="I8" i="1"/>
  <c r="J8" i="1" s="1"/>
  <c r="G8" i="1"/>
  <c r="F8" i="1"/>
  <c r="D8" i="1"/>
  <c r="E8" i="1" s="1"/>
  <c r="I7" i="1"/>
  <c r="H7" i="1"/>
  <c r="D7" i="1"/>
  <c r="C7" i="1"/>
  <c r="C37" i="1" l="1"/>
  <c r="D37" i="1" s="1"/>
  <c r="E37" i="1" s="1"/>
  <c r="D38" i="1"/>
  <c r="E38" i="1" s="1"/>
  <c r="G38" i="1"/>
  <c r="L33" i="1"/>
  <c r="G33" i="1"/>
  <c r="K36" i="1"/>
  <c r="J50" i="1"/>
  <c r="K65" i="1"/>
  <c r="L10" i="1"/>
  <c r="J24" i="1"/>
  <c r="F31" i="1"/>
  <c r="L36" i="1"/>
  <c r="L41" i="1"/>
  <c r="L44" i="1"/>
  <c r="J51" i="1"/>
  <c r="L65" i="1"/>
  <c r="H6" i="1"/>
  <c r="E109" i="1"/>
  <c r="E7" i="1"/>
  <c r="E6" i="1" s="1"/>
  <c r="K18" i="1"/>
  <c r="L26" i="1"/>
  <c r="G28" i="1"/>
  <c r="C110" i="1"/>
  <c r="D31" i="1"/>
  <c r="D6" i="1" s="1"/>
  <c r="J32" i="1"/>
  <c r="I31" i="1"/>
  <c r="J31" i="1" s="1"/>
  <c r="G34" i="1"/>
  <c r="L34" i="1"/>
  <c r="H37" i="1"/>
  <c r="K41" i="1"/>
  <c r="K44" i="1"/>
  <c r="I49" i="1"/>
  <c r="J49" i="1" s="1"/>
  <c r="L50" i="1"/>
  <c r="L52" i="1"/>
  <c r="L55" i="1"/>
  <c r="L57" i="1"/>
  <c r="L59" i="1"/>
  <c r="J63" i="1"/>
  <c r="I17" i="1"/>
  <c r="J18" i="1"/>
  <c r="F64" i="1"/>
  <c r="K66" i="1"/>
  <c r="F14" i="1"/>
  <c r="L18" i="1"/>
  <c r="K34" i="1"/>
  <c r="F35" i="1"/>
  <c r="I39" i="1"/>
  <c r="J39" i="1" s="1"/>
  <c r="K40" i="1"/>
  <c r="K49" i="1"/>
  <c r="G49" i="1"/>
  <c r="K50" i="1"/>
  <c r="G66" i="1"/>
  <c r="L66" i="1"/>
  <c r="C6" i="1"/>
  <c r="C94" i="1" s="1"/>
  <c r="D94" i="1" s="1"/>
  <c r="E94" i="1" s="1"/>
  <c r="J7" i="1"/>
  <c r="F109" i="1"/>
  <c r="F7" i="1"/>
  <c r="L8" i="1"/>
  <c r="L22" i="1"/>
  <c r="L25" i="1"/>
  <c r="G25" i="1"/>
  <c r="F24" i="1"/>
  <c r="K26" i="1"/>
  <c r="L32" i="1"/>
  <c r="K33" i="1"/>
  <c r="L39" i="1"/>
  <c r="K39" i="1"/>
  <c r="G39" i="1"/>
  <c r="I40" i="1"/>
  <c r="L47" i="1"/>
  <c r="L51" i="1"/>
  <c r="G52" i="1"/>
  <c r="K55" i="1"/>
  <c r="L56" i="1"/>
  <c r="G56" i="1"/>
  <c r="K57" i="1"/>
  <c r="L58" i="1"/>
  <c r="G58" i="1"/>
  <c r="K59" i="1"/>
  <c r="L61" i="1"/>
  <c r="K61" i="1"/>
  <c r="G61" i="1"/>
  <c r="K63" i="1"/>
  <c r="D109" i="1"/>
  <c r="K46" i="1"/>
  <c r="K47" i="1"/>
  <c r="K51" i="1"/>
  <c r="K96" i="1"/>
  <c r="I109" i="1"/>
  <c r="J109" i="1" s="1"/>
  <c r="E10" i="1"/>
  <c r="E110" i="1" s="1"/>
  <c r="G40" i="1"/>
  <c r="G44" i="1"/>
  <c r="G46" i="1"/>
  <c r="G47" i="1"/>
  <c r="G51" i="1"/>
  <c r="G96" i="1"/>
  <c r="G14" i="1" l="1"/>
  <c r="L109" i="1"/>
  <c r="G109" i="1"/>
  <c r="K109" i="1"/>
  <c r="L49" i="1"/>
  <c r="D110" i="1"/>
  <c r="G31" i="1"/>
  <c r="K31" i="1"/>
  <c r="L31" i="1"/>
  <c r="G64" i="1"/>
  <c r="K64" i="1"/>
  <c r="L64" i="1"/>
  <c r="F110" i="1"/>
  <c r="G7" i="1"/>
  <c r="F6" i="1"/>
  <c r="L7" i="1"/>
  <c r="K7" i="1"/>
  <c r="L35" i="1"/>
  <c r="K35" i="1"/>
  <c r="G35" i="1"/>
  <c r="I14" i="1"/>
  <c r="K14" i="1" s="1"/>
  <c r="J17" i="1"/>
  <c r="J40" i="1"/>
  <c r="I38" i="1"/>
  <c r="L40" i="1"/>
  <c r="F37" i="1"/>
  <c r="K24" i="1"/>
  <c r="G24" i="1"/>
  <c r="L24" i="1"/>
  <c r="L17" i="1"/>
  <c r="H94" i="1"/>
  <c r="K17" i="1"/>
  <c r="I110" i="1"/>
  <c r="J110" i="1" s="1"/>
  <c r="L110" i="1" l="1"/>
  <c r="K110" i="1"/>
  <c r="G110" i="1"/>
  <c r="J38" i="1"/>
  <c r="K38" i="1"/>
  <c r="I37" i="1"/>
  <c r="J37" i="1" s="1"/>
  <c r="L38" i="1"/>
  <c r="L37" i="1"/>
  <c r="G37" i="1"/>
  <c r="J14" i="1"/>
  <c r="I6" i="1"/>
  <c r="L6" i="1" s="1"/>
  <c r="F94" i="1"/>
  <c r="G6" i="1"/>
  <c r="L14" i="1"/>
  <c r="K6" i="1" l="1"/>
  <c r="I94" i="1"/>
  <c r="J94" i="1" s="1"/>
  <c r="J6" i="1"/>
  <c r="L94" i="1"/>
  <c r="G94" i="1"/>
  <c r="K37" i="1"/>
  <c r="K94" i="1" l="1"/>
</calcChain>
</file>

<file path=xl/sharedStrings.xml><?xml version="1.0" encoding="utf-8"?>
<sst xmlns="http://schemas.openxmlformats.org/spreadsheetml/2006/main" count="242" uniqueCount="144">
  <si>
    <t>Інформація щодо виконання індикативних показників по доходах загального фонду бюджету міста Києва, що зібрані на території Голосіївського району, за 11 місяців 2013 року в порівнянні за 11 місяців 2012 року</t>
  </si>
  <si>
    <t>Код</t>
  </si>
  <si>
    <t>Найменування доходів згідно із бюджетною класифікацією</t>
  </si>
  <si>
    <t>Індикативні показники по доходах загального фонду бюджету на 2013 рік</t>
  </si>
  <si>
    <t>Фактичні надходження за січень-листопад 2013 року</t>
  </si>
  <si>
    <t>% виконання до плану 2013 року</t>
  </si>
  <si>
    <t>Уточнені індикативні показники по доходах загального фонду бюджету на 2012 рік</t>
  </si>
  <si>
    <t>Фактичні надходження за січень-листопад 2012 року</t>
  </si>
  <si>
    <t>% виконання до  плану 2012 року</t>
  </si>
  <si>
    <t>Відхилення фактичних надходжень січень-листопад 2013 року від фактичних надходжень січень-листопад 2012 року</t>
  </si>
  <si>
    <t>Темп росту, %</t>
  </si>
  <si>
    <t>10000000</t>
  </si>
  <si>
    <t>Податкові надходження</t>
  </si>
  <si>
    <t xml:space="preserve">  11000000</t>
  </si>
  <si>
    <t>Податки на доходи, податки на прибуток, податки на збільшення ринкової вартості</t>
  </si>
  <si>
    <t xml:space="preserve">  11010000</t>
  </si>
  <si>
    <t>Податок на доходи фізичних осіб</t>
  </si>
  <si>
    <t>Фіксований податок на доходи фізичних осіб від зайняття підприємницькою діяльністю</t>
  </si>
  <si>
    <t>Податок на прибуток підприємств</t>
  </si>
  <si>
    <t>Екологічний податок</t>
  </si>
  <si>
    <t xml:space="preserve">  12000000</t>
  </si>
  <si>
    <t>Податки на власність</t>
  </si>
  <si>
    <t xml:space="preserve"> </t>
  </si>
  <si>
    <t xml:space="preserve">  12020000</t>
  </si>
  <si>
    <t>Збір за першу реєстрацію транспортного засобу</t>
  </si>
  <si>
    <t xml:space="preserve">  13000000</t>
  </si>
  <si>
    <t>Збори та плата за спеціальне використання природних ресурсів</t>
  </si>
  <si>
    <t>Збір за спеціальне використання лісових ресурсів</t>
  </si>
  <si>
    <t>Збір за спеціальне використання води</t>
  </si>
  <si>
    <t>13020100</t>
  </si>
  <si>
    <t>Збір за спеціальне водокористування  державного значення (50%)</t>
  </si>
  <si>
    <t>13020200</t>
  </si>
  <si>
    <t>Збір за спеціальне використання води місцевого значення</t>
  </si>
  <si>
    <t>13020300</t>
  </si>
  <si>
    <t>збір за спецвикористання води для потреб гідроенергетики</t>
  </si>
  <si>
    <t>13020400</t>
  </si>
  <si>
    <t>Надходження збору за спецвикористання води від підприємств ЖКГ</t>
  </si>
  <si>
    <t>13020401</t>
  </si>
  <si>
    <t>Надходження збору за спецвикористання водивід підприємств ЖКГ</t>
  </si>
  <si>
    <t>13020600</t>
  </si>
  <si>
    <t xml:space="preserve">збір за спецвикористання води в частині використання повержневих вод для потреб водного транспорту </t>
  </si>
  <si>
    <t>Плата за користування надрами</t>
  </si>
  <si>
    <t>13030100</t>
  </si>
  <si>
    <t xml:space="preserve"> Плата за користування надрами для видобудування корисних копалин державного значення (50%)</t>
  </si>
  <si>
    <t xml:space="preserve"> Плата за користування надрами для видобудування корисних копалин місцевого значення (100%)</t>
  </si>
  <si>
    <t>13030600</t>
  </si>
  <si>
    <t>Плата за користування надрами в цілях, не пов'язаних з видобуванням корисних копалин</t>
  </si>
  <si>
    <t>Плата за землю</t>
  </si>
  <si>
    <t>Плата за використання інших природних ресурсів</t>
  </si>
  <si>
    <t>Місцеві податки і збори, нараховані до 01.01.11</t>
  </si>
  <si>
    <t>Місцеві податки і збори</t>
  </si>
  <si>
    <t>Збір за місця за паркування транспортних засобів</t>
  </si>
  <si>
    <t>Туристичний збір</t>
  </si>
  <si>
    <t>Збір за впровадження деяких видів підприємницької діяльності</t>
  </si>
  <si>
    <t>Інші податки та збори</t>
  </si>
  <si>
    <t>Фіксований сільськогосподарський податок </t>
  </si>
  <si>
    <t>20000000</t>
  </si>
  <si>
    <t>Неподаткові надходження</t>
  </si>
  <si>
    <t xml:space="preserve">  21000000</t>
  </si>
  <si>
    <t>Доходи від власності та підприємницької діяльності</t>
  </si>
  <si>
    <t xml:space="preserve">  21010000</t>
  </si>
  <si>
    <t>Частина чистого прибутку (доходу) державних унітарних підприємств та їх об'ань, що вилучається до бюджету</t>
  </si>
  <si>
    <t>Частина чистого прибутку (доходу) державних унітарних підприємств та їх об’єднань, що вилучається до бюджету, та дивіденди (доход), нараховані на акції (частки, паї) господарських товариств, у статутних капіталах яких є державна власність</t>
  </si>
  <si>
    <t xml:space="preserve">  21010300</t>
  </si>
  <si>
    <t>Частина чистого прибутку (доходу) комунальних унітарних підприємств та їх об'єднань, що вилучається до бюджету</t>
  </si>
  <si>
    <t xml:space="preserve">  21010800</t>
  </si>
  <si>
    <t>Дивіденди, нараховані на акції (частки, паї) господарських товариств, у статутних капіталах яких є власність Автономної Республіки Крим, інша комунальна власність</t>
  </si>
  <si>
    <t>Плата за розміщення тимчасово вільних  коштів місцевих бюджетів</t>
  </si>
  <si>
    <t>Інші надходження</t>
  </si>
  <si>
    <t>Штрафні санкції за порушення законодавства про патентування, за порушення норм регулювання обігу готівки та про застосування реєстраторів розрахункових операції у сфері торгівлі, громадського харчування та послуг</t>
  </si>
  <si>
    <t>Адміністративні штрафи та інші санкції</t>
  </si>
  <si>
    <t xml:space="preserve">  21110000</t>
  </si>
  <si>
    <t>Надходження коштів від відшкодування втрат сільськогосподарського і лісогосподарського виробництва</t>
  </si>
  <si>
    <t xml:space="preserve">  22000000</t>
  </si>
  <si>
    <t>Адміністративні збори та платежі, доходи від некомерційної господарської діяльності</t>
  </si>
  <si>
    <t>Плата за ліцензії</t>
  </si>
  <si>
    <t>22010200</t>
  </si>
  <si>
    <t>Плата за видачу ліцензій на певні види господарської діяльності та сертифікати</t>
  </si>
  <si>
    <t>22010300</t>
  </si>
  <si>
    <t>Реєстраційний збір за провадження державної реєстрації юридичних осіб та фізичних осіб-підприємців</t>
  </si>
  <si>
    <t>22010500</t>
  </si>
  <si>
    <t>Плата за ліцензії на виробництво спмрту етилового, коньячного і плодового, алкогольних напоїв та тютюнових виробів</t>
  </si>
  <si>
    <t>22010600</t>
  </si>
  <si>
    <t>Плата за ліцензії на право експорту, імпорту та оптової торгівлі спирту етилового, коньячного і плодового</t>
  </si>
  <si>
    <t>22010700</t>
  </si>
  <si>
    <t>Плата за ліцензії на право експорту, імпорту алкогольними напоями та тютюновими виробами</t>
  </si>
  <si>
    <t>22010900</t>
  </si>
  <si>
    <t>Плата за державну реєстрацію (крім реєстраційного збору за проведення державної реєстрації юридичних та фізичних осіб-підприємців)</t>
  </si>
  <si>
    <t>22011000</t>
  </si>
  <si>
    <t>Плата за ліцензії на право оптової торгівлі алкогольними напоями та тютюновими виробами</t>
  </si>
  <si>
    <t>22011100</t>
  </si>
  <si>
    <t xml:space="preserve"> Плата за ліцензії на право роздрібної торгівлі алкогольними напоями та тютюновими виробами</t>
  </si>
  <si>
    <t>22011800</t>
  </si>
  <si>
    <t>Плата за ліцензії та сертифікати, що сплачується ліцензіатами за місцем здійснення діяльності</t>
  </si>
  <si>
    <t>Плата за утримання дітей у школах-інтернатах </t>
  </si>
  <si>
    <t xml:space="preserve">  22080000</t>
  </si>
  <si>
    <t>Надходження від орендної плати за користування цілісними майновим комплексом та іншим державним майном</t>
  </si>
  <si>
    <t xml:space="preserve">  22080400</t>
  </si>
  <si>
    <t>Надходження від орендної плати за користування цілісним майновим комплексом та іншим майном, що перебуває у комунальній власності</t>
  </si>
  <si>
    <t>Державне мито</t>
  </si>
  <si>
    <t xml:space="preserve">  24000000</t>
  </si>
  <si>
    <t>Інші неподаткові надходження</t>
  </si>
  <si>
    <t xml:space="preserve">  24060000</t>
  </si>
  <si>
    <t>Надходження сум кредиторської та депонентської заборгованості підприємств, організацій та установ, щодо яких минув строк позовної давності</t>
  </si>
  <si>
    <t>Надходження коштів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</si>
  <si>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Відсотки за користування довгостроковим кредитом, що надається з місцевих бюджетів молодим сімям та одиноким молодим громадянам на будівництво (реконструкцію) та придбання житла</t>
  </si>
  <si>
    <t xml:space="preserve">  25000000</t>
  </si>
  <si>
    <t>Власні надходження бюджетних установ</t>
  </si>
  <si>
    <t>* органи виконавчої влади в м.Києві</t>
  </si>
  <si>
    <t>* органи місцевого самоврядування в м.Києві</t>
  </si>
  <si>
    <t>* установи освіти</t>
  </si>
  <si>
    <t>* установи культури</t>
  </si>
  <si>
    <t>* установи фізичної культури та спорту</t>
  </si>
  <si>
    <t>* установи охорони здоров’я</t>
  </si>
  <si>
    <t>* установи соціального захисту</t>
  </si>
  <si>
    <t>30000000</t>
  </si>
  <si>
    <t>Доходи від операцій з капіталом</t>
  </si>
  <si>
    <t xml:space="preserve">  31000000</t>
  </si>
  <si>
    <t>Надходження від продажу основного капіталу</t>
  </si>
  <si>
    <t xml:space="preserve">  31030000</t>
  </si>
  <si>
    <t>Надходження від відчуження майна, яке належить Автономній Республіці Крим та майна, що знаходиться у комунальній власності</t>
  </si>
  <si>
    <t xml:space="preserve">  33000000</t>
  </si>
  <si>
    <t>Надходження від продажу землі і нематеріальних активів</t>
  </si>
  <si>
    <t xml:space="preserve">  33010000</t>
  </si>
  <si>
    <t>Надходження від продажу землі</t>
  </si>
  <si>
    <t>50000000</t>
  </si>
  <si>
    <t>Цільові фонди</t>
  </si>
  <si>
    <t xml:space="preserve">  50100000</t>
  </si>
  <si>
    <t>Інші фонди</t>
  </si>
  <si>
    <t xml:space="preserve">  50110000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</si>
  <si>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</si>
  <si>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 xml:space="preserve">  50110001</t>
  </si>
  <si>
    <t>Пайові кошти інвесторів (забудовників) на розвиток інженерно-транспортної та соціальної інфраструктури, та кошти, що сплачуються в порядку компенсації за інженерну підготовку території</t>
  </si>
  <si>
    <t xml:space="preserve"> Кошти, що надходять відповідно до умов інвестиційних угод та аукціонів</t>
  </si>
  <si>
    <t>Кошти від продажу загальної площі жилих будинків</t>
  </si>
  <si>
    <t>Кошти від плати за право тимчасового використання місць (для розташування об’єктів зовнішньої реклами), які перебувають у комунальній власності територіальної громади м. Києва та від плати за розміщення реклами на транспорті комунальної власності</t>
  </si>
  <si>
    <t xml:space="preserve">Кошти, отримані від будівництва житла і які спрямовуються на розвиток житлового будівництва </t>
  </si>
  <si>
    <t>Кошти відновної вартості зелених насаджень, що підлягають видаленню на території міста Києва</t>
  </si>
  <si>
    <t>Надходження коштів від Державного фонду дорогоцінних металів і дорогоцінного каміння</t>
  </si>
  <si>
    <t>Разом доходів :</t>
  </si>
  <si>
    <t>Спеціальний фонд</t>
  </si>
  <si>
    <t>кошти пайової участі(внеску)власників тимчасових споруд(малих архітектурних форм)в утриманні об'єктів благоустрою м.Києва</t>
  </si>
  <si>
    <t>Перший кошик</t>
  </si>
  <si>
    <t>Другий кошик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</si>
</sst>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"/>
    <numFmt numFmtId="165" formatCode="0.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"/>
      <family val="2"/>
      <charset val="204"/>
    </font>
    <font>
      <b/>
      <sz val="14"/>
      <name val="Arial Cyr"/>
      <family val="2"/>
      <charset val="204"/>
    </font>
    <font>
      <sz val="14"/>
      <name val="Arial Cyr"/>
      <family val="2"/>
      <charset val="204"/>
    </font>
    <font>
      <sz val="14"/>
      <name val="Arial Cyr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Arial"/>
      <family val="2"/>
      <charset val="204"/>
    </font>
    <font>
      <b/>
      <i/>
      <sz val="14"/>
      <name val="Arial"/>
      <family val="2"/>
      <charset val="204"/>
    </font>
    <font>
      <i/>
      <sz val="14"/>
      <name val="Arial"/>
      <family val="2"/>
      <charset val="204"/>
    </font>
    <font>
      <i/>
      <sz val="14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b/>
      <i/>
      <sz val="11"/>
      <name val="Arial"/>
      <family val="2"/>
      <charset val="204"/>
    </font>
    <font>
      <b/>
      <sz val="14"/>
      <color indexed="9"/>
      <name val="Arial"/>
      <family val="2"/>
      <charset val="204"/>
    </font>
    <font>
      <b/>
      <i/>
      <sz val="14"/>
      <color indexed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</cellStyleXfs>
  <cellXfs count="136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7" fillId="0" borderId="1" xfId="2" applyFont="1" applyFill="1" applyBorder="1" applyAlignment="1">
      <alignment horizontal="center" vertical="justify" wrapText="1"/>
    </xf>
    <xf numFmtId="0" fontId="8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5" fillId="0" borderId="1" xfId="0" applyFont="1" applyBorder="1"/>
    <xf numFmtId="0" fontId="5" fillId="0" borderId="0" xfId="0" applyFont="1" applyBorder="1"/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4" fillId="0" borderId="3" xfId="0" applyFont="1" applyBorder="1" applyAlignment="1"/>
    <xf numFmtId="0" fontId="5" fillId="0" borderId="3" xfId="0" applyFont="1" applyBorder="1" applyAlignment="1"/>
    <xf numFmtId="0" fontId="10" fillId="0" borderId="3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4" fontId="10" fillId="0" borderId="5" xfId="0" applyNumberFormat="1" applyFont="1" applyFill="1" applyBorder="1" applyAlignment="1">
      <alignment horizontal="right" wrapText="1"/>
    </xf>
    <xf numFmtId="164" fontId="10" fillId="0" borderId="5" xfId="0" applyNumberFormat="1" applyFont="1" applyFill="1" applyBorder="1" applyAlignment="1">
      <alignment horizontal="right" wrapText="1"/>
    </xf>
    <xf numFmtId="164" fontId="2" fillId="0" borderId="6" xfId="0" applyNumberFormat="1" applyFont="1" applyBorder="1" applyAlignment="1">
      <alignment wrapText="1"/>
    </xf>
    <xf numFmtId="4" fontId="2" fillId="0" borderId="6" xfId="0" applyNumberFormat="1" applyFont="1" applyFill="1" applyBorder="1" applyAlignment="1">
      <alignment horizontal="right" wrapText="1"/>
    </xf>
    <xf numFmtId="4" fontId="2" fillId="0" borderId="7" xfId="0" applyNumberFormat="1" applyFont="1" applyFill="1" applyBorder="1" applyAlignment="1">
      <alignment horizontal="right" wrapText="1"/>
    </xf>
    <xf numFmtId="4" fontId="10" fillId="0" borderId="0" xfId="0" applyNumberFormat="1" applyFont="1" applyFill="1" applyBorder="1" applyAlignment="1">
      <alignment horizontal="right" wrapText="1"/>
    </xf>
    <xf numFmtId="0" fontId="2" fillId="0" borderId="0" xfId="0" applyFont="1" applyAlignment="1">
      <alignment wrapText="1"/>
    </xf>
    <xf numFmtId="0" fontId="11" fillId="0" borderId="4" xfId="0" applyFont="1" applyBorder="1" applyAlignment="1">
      <alignment horizontal="left" vertical="center" wrapText="1"/>
    </xf>
    <xf numFmtId="0" fontId="11" fillId="0" borderId="8" xfId="0" applyFont="1" applyBorder="1" applyAlignment="1">
      <alignment vertical="center" wrapText="1"/>
    </xf>
    <xf numFmtId="4" fontId="11" fillId="0" borderId="8" xfId="0" applyNumberFormat="1" applyFont="1" applyFill="1" applyBorder="1" applyAlignment="1">
      <alignment horizontal="right" wrapText="1"/>
    </xf>
    <xf numFmtId="164" fontId="11" fillId="0" borderId="8" xfId="0" applyNumberFormat="1" applyFont="1" applyFill="1" applyBorder="1" applyAlignment="1">
      <alignment horizontal="right" wrapText="1"/>
    </xf>
    <xf numFmtId="164" fontId="2" fillId="0" borderId="8" xfId="0" applyNumberFormat="1" applyFont="1" applyBorder="1" applyAlignment="1">
      <alignment wrapText="1"/>
    </xf>
    <xf numFmtId="4" fontId="2" fillId="0" borderId="8" xfId="0" applyNumberFormat="1" applyFont="1" applyFill="1" applyBorder="1" applyAlignment="1">
      <alignment horizontal="right" wrapText="1"/>
    </xf>
    <xf numFmtId="4" fontId="2" fillId="0" borderId="9" xfId="0" applyNumberFormat="1" applyFont="1" applyFill="1" applyBorder="1" applyAlignment="1">
      <alignment horizontal="right" wrapText="1"/>
    </xf>
    <xf numFmtId="4" fontId="11" fillId="0" borderId="0" xfId="0" applyNumberFormat="1" applyFont="1" applyFill="1" applyBorder="1" applyAlignment="1">
      <alignment horizontal="right" wrapText="1"/>
    </xf>
    <xf numFmtId="0" fontId="12" fillId="0" borderId="4" xfId="0" applyFont="1" applyBorder="1" applyAlignment="1">
      <alignment horizontal="left" vertical="center" wrapText="1"/>
    </xf>
    <xf numFmtId="0" fontId="12" fillId="0" borderId="8" xfId="0" applyFont="1" applyBorder="1" applyAlignment="1">
      <alignment vertical="center" wrapText="1"/>
    </xf>
    <xf numFmtId="4" fontId="12" fillId="0" borderId="8" xfId="0" applyNumberFormat="1" applyFont="1" applyFill="1" applyBorder="1" applyAlignment="1">
      <alignment horizontal="right" wrapText="1"/>
    </xf>
    <xf numFmtId="4" fontId="2" fillId="0" borderId="0" xfId="0" applyNumberFormat="1" applyFont="1" applyAlignment="1">
      <alignment wrapText="1"/>
    </xf>
    <xf numFmtId="164" fontId="13" fillId="0" borderId="10" xfId="2" applyNumberFormat="1" applyFont="1" applyBorder="1" applyAlignment="1">
      <alignment horizontal="right"/>
    </xf>
    <xf numFmtId="164" fontId="12" fillId="0" borderId="8" xfId="0" applyNumberFormat="1" applyFont="1" applyFill="1" applyBorder="1" applyAlignment="1">
      <alignment horizontal="right" wrapText="1"/>
    </xf>
    <xf numFmtId="4" fontId="12" fillId="0" borderId="0" xfId="0" applyNumberFormat="1" applyFont="1" applyFill="1" applyBorder="1" applyAlignment="1">
      <alignment horizontal="right" wrapText="1"/>
    </xf>
    <xf numFmtId="164" fontId="12" fillId="0" borderId="8" xfId="1" applyNumberFormat="1" applyFont="1" applyFill="1" applyBorder="1" applyAlignment="1">
      <alignment horizontal="right" wrapText="1"/>
    </xf>
    <xf numFmtId="4" fontId="12" fillId="0" borderId="8" xfId="0" applyNumberFormat="1" applyFont="1" applyBorder="1" applyAlignment="1">
      <alignment horizontal="right" wrapText="1"/>
    </xf>
    <xf numFmtId="164" fontId="12" fillId="0" borderId="8" xfId="0" applyNumberFormat="1" applyFont="1" applyBorder="1" applyAlignment="1">
      <alignment horizontal="right" wrapText="1"/>
    </xf>
    <xf numFmtId="4" fontId="12" fillId="0" borderId="0" xfId="0" applyNumberFormat="1" applyFont="1" applyBorder="1" applyAlignment="1">
      <alignment horizontal="right" wrapText="1"/>
    </xf>
    <xf numFmtId="4" fontId="11" fillId="0" borderId="8" xfId="0" applyNumberFormat="1" applyFont="1" applyBorder="1" applyAlignment="1">
      <alignment horizontal="right" wrapText="1"/>
    </xf>
    <xf numFmtId="164" fontId="11" fillId="0" borderId="8" xfId="0" applyNumberFormat="1" applyFont="1" applyBorder="1" applyAlignment="1">
      <alignment horizontal="right" wrapText="1"/>
    </xf>
    <xf numFmtId="4" fontId="11" fillId="0" borderId="0" xfId="0" applyNumberFormat="1" applyFont="1" applyBorder="1" applyAlignment="1">
      <alignment horizontal="right" wrapText="1"/>
    </xf>
    <xf numFmtId="49" fontId="9" fillId="0" borderId="11" xfId="3" applyNumberFormat="1" applyFont="1" applyBorder="1" applyAlignment="1" applyProtection="1">
      <alignment horizontal="center" vertical="center"/>
    </xf>
    <xf numFmtId="164" fontId="9" fillId="0" borderId="12" xfId="3" applyNumberFormat="1" applyFont="1" applyBorder="1" applyAlignment="1" applyProtection="1">
      <alignment horizontal="left" vertical="center" wrapText="1"/>
    </xf>
    <xf numFmtId="49" fontId="9" fillId="0" borderId="4" xfId="3" applyNumberFormat="1" applyFont="1" applyBorder="1" applyAlignment="1" applyProtection="1">
      <alignment horizontal="center" vertical="center"/>
    </xf>
    <xf numFmtId="164" fontId="9" fillId="0" borderId="13" xfId="3" applyNumberFormat="1" applyFont="1" applyBorder="1" applyAlignment="1" applyProtection="1">
      <alignment horizontal="left" vertical="center" wrapText="1"/>
    </xf>
    <xf numFmtId="49" fontId="9" fillId="0" borderId="14" xfId="3" applyNumberFormat="1" applyFont="1" applyBorder="1" applyAlignment="1" applyProtection="1">
      <alignment horizontal="center" vertical="center"/>
    </xf>
    <xf numFmtId="0" fontId="12" fillId="0" borderId="4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vertical="center" wrapText="1"/>
    </xf>
    <xf numFmtId="4" fontId="2" fillId="0" borderId="0" xfId="0" applyNumberFormat="1" applyFont="1" applyFill="1" applyAlignment="1">
      <alignment wrapText="1"/>
    </xf>
    <xf numFmtId="0" fontId="5" fillId="0" borderId="0" xfId="0" applyFont="1" applyFill="1" applyAlignment="1">
      <alignment wrapText="1"/>
    </xf>
    <xf numFmtId="49" fontId="12" fillId="0" borderId="8" xfId="0" applyNumberFormat="1" applyFont="1" applyBorder="1" applyAlignment="1">
      <alignment vertical="center" wrapText="1"/>
    </xf>
    <xf numFmtId="0" fontId="10" fillId="0" borderId="8" xfId="0" applyFont="1" applyBorder="1" applyAlignment="1">
      <alignment horizontal="center" vertical="center" wrapText="1"/>
    </xf>
    <xf numFmtId="4" fontId="10" fillId="0" borderId="8" xfId="0" applyNumberFormat="1" applyFont="1" applyBorder="1" applyAlignment="1">
      <alignment horizontal="right" wrapText="1"/>
    </xf>
    <xf numFmtId="164" fontId="10" fillId="0" borderId="8" xfId="0" applyNumberFormat="1" applyFont="1" applyBorder="1" applyAlignment="1">
      <alignment horizontal="right" wrapText="1"/>
    </xf>
    <xf numFmtId="164" fontId="10" fillId="0" borderId="8" xfId="0" applyNumberFormat="1" applyFont="1" applyFill="1" applyBorder="1" applyAlignment="1">
      <alignment horizontal="right" wrapText="1"/>
    </xf>
    <xf numFmtId="4" fontId="10" fillId="0" borderId="0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164" fontId="2" fillId="0" borderId="8" xfId="0" applyNumberFormat="1" applyFont="1" applyFill="1" applyBorder="1" applyAlignment="1">
      <alignment horizontal="right" wrapText="1"/>
    </xf>
    <xf numFmtId="4" fontId="2" fillId="0" borderId="8" xfId="0" applyNumberFormat="1" applyFont="1" applyBorder="1" applyAlignment="1">
      <alignment horizontal="right" wrapText="1"/>
    </xf>
    <xf numFmtId="164" fontId="2" fillId="0" borderId="8" xfId="0" applyNumberFormat="1" applyFont="1" applyBorder="1" applyAlignment="1">
      <alignment horizontal="right" wrapText="1"/>
    </xf>
    <xf numFmtId="4" fontId="2" fillId="0" borderId="0" xfId="0" applyNumberFormat="1" applyFont="1" applyBorder="1" applyAlignment="1">
      <alignment horizontal="right" wrapText="1"/>
    </xf>
    <xf numFmtId="0" fontId="11" fillId="0" borderId="4" xfId="0" applyFont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right" wrapText="1"/>
    </xf>
    <xf numFmtId="0" fontId="10" fillId="0" borderId="8" xfId="0" applyFont="1" applyBorder="1" applyAlignment="1">
      <alignment vertical="center" wrapText="1"/>
    </xf>
    <xf numFmtId="164" fontId="9" fillId="0" borderId="12" xfId="3" applyNumberFormat="1" applyFont="1" applyFill="1" applyBorder="1" applyAlignment="1" applyProtection="1">
      <alignment horizontal="left" vertical="center" wrapText="1"/>
    </xf>
    <xf numFmtId="164" fontId="9" fillId="0" borderId="13" xfId="3" applyNumberFormat="1" applyFont="1" applyFill="1" applyBorder="1" applyAlignment="1" applyProtection="1">
      <alignment vertical="justify" wrapText="1"/>
    </xf>
    <xf numFmtId="164" fontId="9" fillId="0" borderId="13" xfId="3" applyNumberFormat="1" applyFont="1" applyFill="1" applyBorder="1" applyAlignment="1" applyProtection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0" xfId="0" applyFont="1" applyBorder="1"/>
    <xf numFmtId="4" fontId="10" fillId="0" borderId="8" xfId="0" applyNumberFormat="1" applyFont="1" applyFill="1" applyBorder="1" applyAlignment="1">
      <alignment horizontal="right" wrapText="1"/>
    </xf>
    <xf numFmtId="49" fontId="11" fillId="0" borderId="8" xfId="0" applyNumberFormat="1" applyFont="1" applyBorder="1" applyAlignment="1">
      <alignment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vertical="center" wrapText="1"/>
    </xf>
    <xf numFmtId="4" fontId="2" fillId="2" borderId="8" xfId="0" applyNumberFormat="1" applyFont="1" applyFill="1" applyBorder="1" applyAlignment="1">
      <alignment horizontal="right" wrapText="1"/>
    </xf>
    <xf numFmtId="164" fontId="2" fillId="2" borderId="8" xfId="0" applyNumberFormat="1" applyFont="1" applyFill="1" applyBorder="1" applyAlignment="1">
      <alignment horizontal="right" wrapText="1"/>
    </xf>
    <xf numFmtId="4" fontId="2" fillId="2" borderId="0" xfId="0" applyNumberFormat="1" applyFont="1" applyFill="1" applyBorder="1" applyAlignment="1">
      <alignment horizontal="right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center" wrapText="1"/>
    </xf>
    <xf numFmtId="4" fontId="2" fillId="0" borderId="17" xfId="0" applyNumberFormat="1" applyFont="1" applyBorder="1" applyAlignment="1">
      <alignment horizontal="right" wrapText="1"/>
    </xf>
    <xf numFmtId="164" fontId="2" fillId="0" borderId="17" xfId="0" applyNumberFormat="1" applyFont="1" applyBorder="1" applyAlignment="1">
      <alignment horizontal="right" wrapText="1"/>
    </xf>
    <xf numFmtId="164" fontId="2" fillId="0" borderId="17" xfId="0" applyNumberFormat="1" applyFont="1" applyFill="1" applyBorder="1" applyAlignment="1">
      <alignment horizontal="right" wrapText="1"/>
    </xf>
    <xf numFmtId="0" fontId="2" fillId="0" borderId="18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165" fontId="10" fillId="0" borderId="20" xfId="0" applyNumberFormat="1" applyFont="1" applyFill="1" applyBorder="1" applyAlignment="1">
      <alignment horizontal="right"/>
    </xf>
    <xf numFmtId="165" fontId="2" fillId="0" borderId="0" xfId="0" applyNumberFormat="1" applyFont="1" applyAlignment="1">
      <alignment wrapText="1"/>
    </xf>
    <xf numFmtId="2" fontId="10" fillId="0" borderId="20" xfId="0" applyNumberFormat="1" applyFont="1" applyFill="1" applyBorder="1" applyAlignment="1">
      <alignment horizontal="right"/>
    </xf>
    <xf numFmtId="164" fontId="10" fillId="0" borderId="20" xfId="0" applyNumberFormat="1" applyFont="1" applyFill="1" applyBorder="1" applyAlignment="1">
      <alignment horizontal="right"/>
    </xf>
    <xf numFmtId="164" fontId="10" fillId="0" borderId="21" xfId="0" applyNumberFormat="1" applyFont="1" applyFill="1" applyBorder="1" applyAlignment="1">
      <alignment horizontal="right" wrapText="1"/>
    </xf>
    <xf numFmtId="164" fontId="10" fillId="0" borderId="22" xfId="0" applyNumberFormat="1" applyFont="1" applyFill="1" applyBorder="1" applyAlignment="1">
      <alignment horizontal="right" wrapText="1"/>
    </xf>
    <xf numFmtId="4" fontId="10" fillId="0" borderId="0" xfId="0" applyNumberFormat="1" applyFont="1" applyFill="1" applyBorder="1" applyAlignment="1">
      <alignment horizontal="right"/>
    </xf>
    <xf numFmtId="0" fontId="10" fillId="0" borderId="23" xfId="0" applyFont="1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5" xfId="0" applyBorder="1" applyAlignment="1">
      <alignment horizontal="center" wrapText="1"/>
    </xf>
    <xf numFmtId="0" fontId="11" fillId="0" borderId="26" xfId="0" applyFont="1" applyBorder="1" applyAlignment="1">
      <alignment horizontal="left" vertical="center" wrapText="1"/>
    </xf>
    <xf numFmtId="0" fontId="15" fillId="0" borderId="27" xfId="0" applyFont="1" applyBorder="1" applyAlignment="1">
      <alignment vertical="center" wrapText="1"/>
    </xf>
    <xf numFmtId="4" fontId="11" fillId="0" borderId="27" xfId="0" applyNumberFormat="1" applyFont="1" applyBorder="1" applyAlignment="1">
      <alignment horizontal="center" vertical="center" wrapText="1"/>
    </xf>
    <xf numFmtId="4" fontId="2" fillId="0" borderId="27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165" fontId="5" fillId="0" borderId="27" xfId="0" applyNumberFormat="1" applyFont="1" applyFill="1" applyBorder="1" applyAlignment="1">
      <alignment horizontal="center" vertical="center" wrapText="1"/>
    </xf>
    <xf numFmtId="164" fontId="2" fillId="0" borderId="27" xfId="0" applyNumberFormat="1" applyFont="1" applyBorder="1" applyAlignment="1">
      <alignment horizontal="center" vertical="center" wrapText="1"/>
    </xf>
    <xf numFmtId="4" fontId="10" fillId="0" borderId="27" xfId="0" applyNumberFormat="1" applyFont="1" applyFill="1" applyBorder="1" applyAlignment="1">
      <alignment horizontal="center" vertical="center" wrapText="1"/>
    </xf>
    <xf numFmtId="4" fontId="2" fillId="0" borderId="28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4" fontId="2" fillId="0" borderId="0" xfId="0" applyNumberFormat="1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right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right" wrapText="1"/>
    </xf>
    <xf numFmtId="0" fontId="10" fillId="0" borderId="0" xfId="0" applyFont="1" applyBorder="1" applyAlignment="1">
      <alignment horizontal="left" vertical="center" wrapText="1"/>
    </xf>
    <xf numFmtId="4" fontId="16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4" fontId="17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/>
    <xf numFmtId="0" fontId="10" fillId="0" borderId="0" xfId="0" applyFont="1" applyBorder="1" applyAlignment="1">
      <alignment horizontal="right"/>
    </xf>
    <xf numFmtId="4" fontId="10" fillId="0" borderId="0" xfId="0" applyNumberFormat="1" applyFont="1" applyBorder="1" applyAlignment="1">
      <alignment horizontal="right"/>
    </xf>
    <xf numFmtId="0" fontId="10" fillId="0" borderId="0" xfId="0" applyFont="1" applyAlignment="1"/>
    <xf numFmtId="0" fontId="10" fillId="0" borderId="0" xfId="0" applyFont="1" applyBorder="1" applyAlignment="1"/>
    <xf numFmtId="165" fontId="2" fillId="0" borderId="0" xfId="0" applyNumberFormat="1" applyFont="1" applyAlignment="1"/>
    <xf numFmtId="165" fontId="5" fillId="0" borderId="0" xfId="0" applyNumberFormat="1" applyFont="1" applyAlignment="1"/>
    <xf numFmtId="4" fontId="5" fillId="0" borderId="0" xfId="0" applyNumberFormat="1" applyFont="1" applyAlignment="1"/>
  </cellXfs>
  <cellStyles count="4">
    <cellStyle name="Обычный" xfId="0" builtinId="0"/>
    <cellStyle name="Обычный_ZV1PIV98" xfId="3"/>
    <cellStyle name="Обычный_фактичні щоденні надходження район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7"/>
  <sheetViews>
    <sheetView tabSelected="1" view="pageBreakPreview" topLeftCell="A7" zoomScale="75" zoomScaleNormal="75" zoomScaleSheetLayoutView="75" workbookViewId="0">
      <selection activeCell="A2" sqref="A2:L2"/>
    </sheetView>
  </sheetViews>
  <sheetFormatPr defaultColWidth="8.85546875" defaultRowHeight="18" x14ac:dyDescent="0.25"/>
  <cols>
    <col min="1" max="1" width="22.7109375" style="4" customWidth="1"/>
    <col min="2" max="2" width="40.5703125" style="4" customWidth="1"/>
    <col min="3" max="3" width="25.42578125" style="4" customWidth="1"/>
    <col min="4" max="4" width="16.42578125" style="3" hidden="1" customWidth="1"/>
    <col min="5" max="5" width="12.85546875" style="4" hidden="1" customWidth="1"/>
    <col min="6" max="6" width="27.28515625" style="4" customWidth="1"/>
    <col min="7" max="7" width="18.85546875" style="4" customWidth="1"/>
    <col min="8" max="8" width="26.42578125" style="4" customWidth="1"/>
    <col min="9" max="9" width="23.7109375" style="4" customWidth="1"/>
    <col min="10" max="10" width="18.28515625" style="4" customWidth="1"/>
    <col min="11" max="11" width="24.85546875" style="4" customWidth="1"/>
    <col min="12" max="12" width="20" style="4" customWidth="1"/>
    <col min="13" max="14" width="14.7109375" style="4" customWidth="1"/>
    <col min="15" max="16384" width="8.85546875" style="4"/>
  </cols>
  <sheetData>
    <row r="1" spans="1:14" ht="24" customHeight="1" x14ac:dyDescent="0.25">
      <c r="A1" s="1"/>
      <c r="B1" s="1"/>
      <c r="C1" s="2"/>
    </row>
    <row r="2" spans="1:14" ht="48" customHeight="1" thickBot="1" x14ac:dyDescent="0.3">
      <c r="A2" s="5" t="s">
        <v>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8"/>
    </row>
    <row r="3" spans="1:14" ht="19.5" hidden="1" thickBot="1" x14ac:dyDescent="0.35">
      <c r="A3" s="1"/>
      <c r="B3" s="1"/>
      <c r="C3" s="9"/>
    </row>
    <row r="4" spans="1:14" ht="36" hidden="1" customHeight="1" x14ac:dyDescent="0.25">
      <c r="A4" s="10"/>
      <c r="B4" s="11"/>
      <c r="C4" s="11"/>
    </row>
    <row r="5" spans="1:14" ht="138.75" customHeight="1" thickBot="1" x14ac:dyDescent="0.3">
      <c r="A5" s="12" t="s">
        <v>1</v>
      </c>
      <c r="B5" s="13" t="s">
        <v>2</v>
      </c>
      <c r="C5" s="13" t="s">
        <v>3</v>
      </c>
      <c r="D5" s="14"/>
      <c r="E5" s="15"/>
      <c r="F5" s="16" t="s">
        <v>4</v>
      </c>
      <c r="G5" s="13" t="s">
        <v>5</v>
      </c>
      <c r="H5" s="13" t="s">
        <v>6</v>
      </c>
      <c r="I5" s="16" t="s">
        <v>7</v>
      </c>
      <c r="J5" s="13" t="s">
        <v>8</v>
      </c>
      <c r="K5" s="13" t="s">
        <v>9</v>
      </c>
      <c r="L5" s="13" t="s">
        <v>10</v>
      </c>
      <c r="M5" s="17"/>
      <c r="N5" s="17"/>
    </row>
    <row r="6" spans="1:14" s="26" customFormat="1" x14ac:dyDescent="0.25">
      <c r="A6" s="18" t="s">
        <v>11</v>
      </c>
      <c r="B6" s="19" t="s">
        <v>12</v>
      </c>
      <c r="C6" s="20">
        <f>C7+C14+C30+C31+C35</f>
        <v>1237719.3</v>
      </c>
      <c r="D6" s="20">
        <f>D7+D14+D31+D35</f>
        <v>1237719.3</v>
      </c>
      <c r="E6" s="20" t="e">
        <f>E7+E14+E31+E35</f>
        <v>#REF!</v>
      </c>
      <c r="F6" s="21">
        <f>F7+F14+F30+F31+F35</f>
        <v>1010982.2763250002</v>
      </c>
      <c r="G6" s="22">
        <f>F6/C6*100</f>
        <v>81.681062606440747</v>
      </c>
      <c r="H6" s="20">
        <f>H7+H14+H30+H31+H35</f>
        <v>1213272.9000000001</v>
      </c>
      <c r="I6" s="21">
        <f>I7+I14+I30+I31+I35</f>
        <v>948551.21993999998</v>
      </c>
      <c r="J6" s="22">
        <f>I6/H6*100</f>
        <v>78.181192371477167</v>
      </c>
      <c r="K6" s="23">
        <f t="shared" ref="K6:K69" si="0">F6-I6</f>
        <v>62431.056385000236</v>
      </c>
      <c r="L6" s="24">
        <f t="shared" ref="L6:L19" si="1">F6/I6*100</f>
        <v>106.58172748846913</v>
      </c>
      <c r="M6" s="25"/>
      <c r="N6" s="25"/>
    </row>
    <row r="7" spans="1:14" s="8" customFormat="1" ht="33" customHeight="1" thickBot="1" x14ac:dyDescent="0.35">
      <c r="A7" s="27" t="s">
        <v>13</v>
      </c>
      <c r="B7" s="28" t="s">
        <v>14</v>
      </c>
      <c r="C7" s="29">
        <f>C8+C9+C10</f>
        <v>872350.3</v>
      </c>
      <c r="D7" s="29">
        <f>D8+D9+D10</f>
        <v>872350.3</v>
      </c>
      <c r="E7" s="29" t="e">
        <f>E8+E9+E10</f>
        <v>#REF!</v>
      </c>
      <c r="F7" s="30">
        <f>F8+F9+F10</f>
        <v>730011.14075500017</v>
      </c>
      <c r="G7" s="31">
        <f>F7/C7*100</f>
        <v>83.683256686562743</v>
      </c>
      <c r="H7" s="29">
        <f>H8+H9+H10</f>
        <v>763435.20000000007</v>
      </c>
      <c r="I7" s="30">
        <f>I8+I9+I10</f>
        <v>666714.19518000004</v>
      </c>
      <c r="J7" s="31">
        <f>I7/H7*100</f>
        <v>87.330816705857941</v>
      </c>
      <c r="K7" s="32">
        <f t="shared" si="0"/>
        <v>63296.945575000136</v>
      </c>
      <c r="L7" s="33">
        <f t="shared" si="1"/>
        <v>109.4938649923167</v>
      </c>
      <c r="M7" s="34"/>
      <c r="N7" s="34"/>
    </row>
    <row r="8" spans="1:14" s="8" customFormat="1" ht="23.25" customHeight="1" thickBot="1" x14ac:dyDescent="0.35">
      <c r="A8" s="35" t="s">
        <v>15</v>
      </c>
      <c r="B8" s="36" t="s">
        <v>16</v>
      </c>
      <c r="C8" s="37">
        <v>871293</v>
      </c>
      <c r="D8" s="38">
        <f>SUM(C8:C8)</f>
        <v>871293</v>
      </c>
      <c r="E8" s="38" t="e">
        <f>#REF!-D8</f>
        <v>#REF!</v>
      </c>
      <c r="F8" s="39">
        <f>(1287244.28163+68081.36324+82505.27328+20031.92878+5.6683)/2</f>
        <v>728934.25761500013</v>
      </c>
      <c r="G8" s="31">
        <f>F8/C8*100</f>
        <v>83.661208986529232</v>
      </c>
      <c r="H8" s="37">
        <v>762382.8</v>
      </c>
      <c r="I8" s="40">
        <f>(1177013.91645+57646.00213+78338.92381+18306.19311+16.98084)/2</f>
        <v>665661.00817000004</v>
      </c>
      <c r="J8" s="31">
        <f>I8/H8*100</f>
        <v>87.31322482222842</v>
      </c>
      <c r="K8" s="32">
        <f t="shared" si="0"/>
        <v>63273.249445000081</v>
      </c>
      <c r="L8" s="33">
        <f t="shared" si="1"/>
        <v>109.50532608466095</v>
      </c>
      <c r="M8" s="41"/>
      <c r="N8" s="41"/>
    </row>
    <row r="9" spans="1:14" s="8" customFormat="1" ht="31.5" customHeight="1" x14ac:dyDescent="0.3">
      <c r="A9" s="35">
        <v>11010600</v>
      </c>
      <c r="B9" s="36" t="s">
        <v>17</v>
      </c>
      <c r="C9" s="37"/>
      <c r="D9" s="38"/>
      <c r="E9" s="38"/>
      <c r="F9" s="40">
        <f>-0.19419</f>
        <v>-0.19419</v>
      </c>
      <c r="G9" s="31"/>
      <c r="H9" s="37">
        <v>0</v>
      </c>
      <c r="I9" s="42">
        <f>0.75891</f>
        <v>0.75890999999999997</v>
      </c>
      <c r="J9" s="31"/>
      <c r="K9" s="32">
        <f t="shared" si="0"/>
        <v>-0.95309999999999995</v>
      </c>
      <c r="L9" s="33">
        <f t="shared" si="1"/>
        <v>-25.588014389057996</v>
      </c>
      <c r="M9" s="41"/>
      <c r="N9" s="41"/>
    </row>
    <row r="10" spans="1:14" s="8" customFormat="1" ht="24" customHeight="1" x14ac:dyDescent="0.3">
      <c r="A10" s="35">
        <v>11020000</v>
      </c>
      <c r="B10" s="36" t="s">
        <v>18</v>
      </c>
      <c r="C10" s="37">
        <v>1057.3</v>
      </c>
      <c r="D10" s="38">
        <f>SUM(C10:C10)</f>
        <v>1057.3</v>
      </c>
      <c r="E10" s="38" t="e">
        <f>#REF!-D10</f>
        <v>#REF!</v>
      </c>
      <c r="F10" s="40">
        <f>51.3201+458.4374+57.19901+510.12082</f>
        <v>1077.0773300000001</v>
      </c>
      <c r="G10" s="31">
        <f t="shared" ref="G10:G15" si="2">F10/C10*100</f>
        <v>101.8705504587156</v>
      </c>
      <c r="H10" s="37">
        <v>1052.4000000000001</v>
      </c>
      <c r="I10" s="40">
        <f>423.431+628.9971</f>
        <v>1052.4281000000001</v>
      </c>
      <c r="J10" s="31">
        <f t="shared" ref="J10:J15" si="3">I10/H10*100</f>
        <v>100.00267008741923</v>
      </c>
      <c r="K10" s="32">
        <f t="shared" si="0"/>
        <v>24.649229999999989</v>
      </c>
      <c r="L10" s="33">
        <f t="shared" si="1"/>
        <v>102.34212959536141</v>
      </c>
      <c r="M10" s="41"/>
      <c r="N10" s="41"/>
    </row>
    <row r="11" spans="1:14" s="8" customFormat="1" ht="13.5" hidden="1" customHeight="1" x14ac:dyDescent="0.3">
      <c r="A11" s="35">
        <v>19010000</v>
      </c>
      <c r="B11" s="36" t="s">
        <v>19</v>
      </c>
      <c r="C11" s="43"/>
      <c r="D11" s="38">
        <f>SUM(C11:C11)</f>
        <v>0</v>
      </c>
      <c r="E11" s="38" t="e">
        <f>#REF!-D11</f>
        <v>#REF!</v>
      </c>
      <c r="F11" s="44"/>
      <c r="G11" s="31" t="e">
        <f t="shared" si="2"/>
        <v>#DIV/0!</v>
      </c>
      <c r="H11" s="43"/>
      <c r="I11" s="40"/>
      <c r="J11" s="31" t="e">
        <f t="shared" si="3"/>
        <v>#DIV/0!</v>
      </c>
      <c r="K11" s="32">
        <f t="shared" si="0"/>
        <v>0</v>
      </c>
      <c r="L11" s="33" t="e">
        <f t="shared" si="1"/>
        <v>#DIV/0!</v>
      </c>
      <c r="M11" s="45"/>
      <c r="N11" s="45"/>
    </row>
    <row r="12" spans="1:14" s="8" customFormat="1" ht="13.5" hidden="1" customHeight="1" x14ac:dyDescent="0.3">
      <c r="A12" s="27" t="s">
        <v>20</v>
      </c>
      <c r="B12" s="28" t="s">
        <v>21</v>
      </c>
      <c r="C12" s="46" t="s">
        <v>22</v>
      </c>
      <c r="D12" s="38">
        <f>SUM(C12:C12)</f>
        <v>0</v>
      </c>
      <c r="E12" s="38" t="e">
        <f>#REF!-D12</f>
        <v>#REF!</v>
      </c>
      <c r="F12" s="47" t="s">
        <v>22</v>
      </c>
      <c r="G12" s="31" t="e">
        <f t="shared" si="2"/>
        <v>#VALUE!</v>
      </c>
      <c r="H12" s="46" t="s">
        <v>22</v>
      </c>
      <c r="I12" s="30" t="s">
        <v>22</v>
      </c>
      <c r="J12" s="31" t="e">
        <f t="shared" si="3"/>
        <v>#VALUE!</v>
      </c>
      <c r="K12" s="32" t="e">
        <f t="shared" si="0"/>
        <v>#VALUE!</v>
      </c>
      <c r="L12" s="33" t="e">
        <f t="shared" si="1"/>
        <v>#VALUE!</v>
      </c>
      <c r="M12" s="48"/>
      <c r="N12" s="48"/>
    </row>
    <row r="13" spans="1:14" s="8" customFormat="1" ht="18" hidden="1" customHeight="1" x14ac:dyDescent="0.3">
      <c r="A13" s="35" t="s">
        <v>23</v>
      </c>
      <c r="B13" s="36" t="s">
        <v>24</v>
      </c>
      <c r="C13" s="43" t="s">
        <v>22</v>
      </c>
      <c r="D13" s="38">
        <f>SUM(C13:C13)</f>
        <v>0</v>
      </c>
      <c r="E13" s="38" t="e">
        <f>#REF!-D13</f>
        <v>#REF!</v>
      </c>
      <c r="F13" s="44" t="s">
        <v>22</v>
      </c>
      <c r="G13" s="31" t="e">
        <f t="shared" si="2"/>
        <v>#VALUE!</v>
      </c>
      <c r="H13" s="43" t="s">
        <v>22</v>
      </c>
      <c r="I13" s="40" t="s">
        <v>22</v>
      </c>
      <c r="J13" s="31" t="e">
        <f t="shared" si="3"/>
        <v>#VALUE!</v>
      </c>
      <c r="K13" s="32" t="e">
        <f t="shared" si="0"/>
        <v>#VALUE!</v>
      </c>
      <c r="L13" s="33" t="e">
        <f t="shared" si="1"/>
        <v>#VALUE!</v>
      </c>
      <c r="M13" s="45"/>
      <c r="N13" s="45"/>
    </row>
    <row r="14" spans="1:14" s="8" customFormat="1" ht="36" customHeight="1" x14ac:dyDescent="0.3">
      <c r="A14" s="27" t="s">
        <v>25</v>
      </c>
      <c r="B14" s="28" t="s">
        <v>26</v>
      </c>
      <c r="C14" s="46">
        <f>C16+C17+C24+C28+C29</f>
        <v>356486.79999999993</v>
      </c>
      <c r="D14" s="38">
        <f>SUM(C14:C14)</f>
        <v>356486.79999999993</v>
      </c>
      <c r="E14" s="38" t="e">
        <f>#REF!-D14</f>
        <v>#REF!</v>
      </c>
      <c r="F14" s="47">
        <f>F16+F17+F24+F28+F29</f>
        <v>272103.32969000004</v>
      </c>
      <c r="G14" s="31">
        <f t="shared" si="2"/>
        <v>76.329145901054432</v>
      </c>
      <c r="H14" s="46">
        <f>H16+H17+H24+H28+H29</f>
        <v>442081.5</v>
      </c>
      <c r="I14" s="30">
        <f>I16+I17+I24+I28+I29</f>
        <v>274614.41347999999</v>
      </c>
      <c r="J14" s="31">
        <f t="shared" si="3"/>
        <v>62.118503823390029</v>
      </c>
      <c r="K14" s="32">
        <f t="shared" si="0"/>
        <v>-2511.083789999946</v>
      </c>
      <c r="L14" s="33">
        <f t="shared" si="1"/>
        <v>99.085596506687793</v>
      </c>
      <c r="M14" s="48"/>
      <c r="N14" s="48"/>
    </row>
    <row r="15" spans="1:14" s="8" customFormat="1" ht="56.25" hidden="1" x14ac:dyDescent="0.3">
      <c r="A15" s="27">
        <v>13010000</v>
      </c>
      <c r="B15" s="28" t="s">
        <v>27</v>
      </c>
      <c r="C15" s="46">
        <v>0</v>
      </c>
      <c r="D15" s="38"/>
      <c r="E15" s="38"/>
      <c r="F15" s="47">
        <v>0</v>
      </c>
      <c r="G15" s="31" t="e">
        <f t="shared" si="2"/>
        <v>#DIV/0!</v>
      </c>
      <c r="H15" s="46">
        <v>0</v>
      </c>
      <c r="I15" s="30">
        <v>0</v>
      </c>
      <c r="J15" s="31" t="e">
        <f t="shared" si="3"/>
        <v>#DIV/0!</v>
      </c>
      <c r="K15" s="32">
        <f t="shared" si="0"/>
        <v>0</v>
      </c>
      <c r="L15" s="33" t="e">
        <f t="shared" si="1"/>
        <v>#DIV/0!</v>
      </c>
      <c r="M15" s="48"/>
      <c r="N15" s="48"/>
    </row>
    <row r="16" spans="1:14" s="8" customFormat="1" ht="21.75" customHeight="1" x14ac:dyDescent="0.3">
      <c r="A16" s="35">
        <v>13010200</v>
      </c>
      <c r="B16" s="36" t="s">
        <v>27</v>
      </c>
      <c r="C16" s="43"/>
      <c r="D16" s="38"/>
      <c r="E16" s="38"/>
      <c r="F16" s="44">
        <f>33.71082</f>
        <v>33.710819999999998</v>
      </c>
      <c r="G16" s="31"/>
      <c r="H16" s="43">
        <v>0</v>
      </c>
      <c r="I16" s="40">
        <v>39.421799999999998</v>
      </c>
      <c r="J16" s="31"/>
      <c r="K16" s="32">
        <f t="shared" si="0"/>
        <v>-5.7109799999999993</v>
      </c>
      <c r="L16" s="33">
        <f t="shared" si="1"/>
        <v>85.513142474468438</v>
      </c>
      <c r="M16" s="45"/>
      <c r="N16" s="45"/>
    </row>
    <row r="17" spans="1:14" s="8" customFormat="1" ht="23.25" customHeight="1" x14ac:dyDescent="0.3">
      <c r="A17" s="35">
        <v>13020000</v>
      </c>
      <c r="B17" s="36" t="s">
        <v>28</v>
      </c>
      <c r="C17" s="43">
        <f>C18+C19+C20+C21+C22+C23</f>
        <v>5690.3</v>
      </c>
      <c r="D17" s="43">
        <f>D18+D19+D20+D21+D22+D23</f>
        <v>0</v>
      </c>
      <c r="E17" s="43">
        <f>E18+E19+E20+E21+E22+E23</f>
        <v>0</v>
      </c>
      <c r="F17" s="44">
        <f>F18+F19+F20+F21+F22+F23</f>
        <v>8475.1353400000025</v>
      </c>
      <c r="G17" s="31">
        <f>F17/C17*100</f>
        <v>148.94004428589008</v>
      </c>
      <c r="H17" s="43">
        <f>H18+H19+H20+H21+H22+H23</f>
        <v>5330.5</v>
      </c>
      <c r="I17" s="40">
        <f>I18+I19+I20+I21+I22+I23</f>
        <v>6881.2402700000002</v>
      </c>
      <c r="J17" s="31">
        <f>I17/H17*100</f>
        <v>129.09183509989683</v>
      </c>
      <c r="K17" s="32">
        <f t="shared" si="0"/>
        <v>1593.8950700000023</v>
      </c>
      <c r="L17" s="33">
        <f t="shared" si="1"/>
        <v>123.16290388738311</v>
      </c>
      <c r="M17" s="45"/>
      <c r="N17" s="45"/>
    </row>
    <row r="18" spans="1:14" s="8" customFormat="1" ht="33.75" customHeight="1" x14ac:dyDescent="0.3">
      <c r="A18" s="49" t="s">
        <v>29</v>
      </c>
      <c r="B18" s="50" t="s">
        <v>30</v>
      </c>
      <c r="C18" s="43">
        <v>5690.3</v>
      </c>
      <c r="D18" s="38"/>
      <c r="E18" s="38"/>
      <c r="F18" s="44">
        <f>8469.01048</f>
        <v>8469.0104800000008</v>
      </c>
      <c r="G18" s="31">
        <f>F18/C18*100</f>
        <v>148.83240743018823</v>
      </c>
      <c r="H18" s="43">
        <v>5323.3</v>
      </c>
      <c r="I18" s="40">
        <f>6877.88662</f>
        <v>6877.8866200000002</v>
      </c>
      <c r="J18" s="31">
        <f>I18/H18*100</f>
        <v>129.20343809291228</v>
      </c>
      <c r="K18" s="32">
        <f t="shared" si="0"/>
        <v>1591.1238600000006</v>
      </c>
      <c r="L18" s="33">
        <f t="shared" si="1"/>
        <v>123.13390650222729</v>
      </c>
      <c r="M18" s="45"/>
      <c r="N18" s="45"/>
    </row>
    <row r="19" spans="1:14" s="8" customFormat="1" ht="29.25" customHeight="1" x14ac:dyDescent="0.3">
      <c r="A19" s="51" t="s">
        <v>31</v>
      </c>
      <c r="B19" s="52" t="s">
        <v>32</v>
      </c>
      <c r="C19" s="43">
        <v>0</v>
      </c>
      <c r="D19" s="38"/>
      <c r="E19" s="38"/>
      <c r="F19" s="44">
        <f>0.51165</f>
        <v>0.51165000000000005</v>
      </c>
      <c r="G19" s="31"/>
      <c r="H19" s="43">
        <v>7.2</v>
      </c>
      <c r="I19" s="40">
        <f>0.16294</f>
        <v>0.16294</v>
      </c>
      <c r="J19" s="31">
        <f>I19/H19*100</f>
        <v>2.2630555555555558</v>
      </c>
      <c r="K19" s="32">
        <f t="shared" si="0"/>
        <v>0.34871000000000008</v>
      </c>
      <c r="L19" s="33">
        <f t="shared" si="1"/>
        <v>314.01129250030692</v>
      </c>
      <c r="M19" s="45"/>
      <c r="N19" s="45"/>
    </row>
    <row r="20" spans="1:14" s="8" customFormat="1" ht="33" customHeight="1" x14ac:dyDescent="0.3">
      <c r="A20" s="51" t="s">
        <v>33</v>
      </c>
      <c r="B20" s="50" t="s">
        <v>34</v>
      </c>
      <c r="C20" s="43">
        <v>0</v>
      </c>
      <c r="D20" s="38"/>
      <c r="E20" s="38"/>
      <c r="F20" s="44">
        <f>2.63442</f>
        <v>2.63442</v>
      </c>
      <c r="G20" s="31"/>
      <c r="H20" s="43">
        <v>0</v>
      </c>
      <c r="I20" s="40">
        <v>0</v>
      </c>
      <c r="J20" s="31"/>
      <c r="K20" s="32">
        <f t="shared" si="0"/>
        <v>2.63442</v>
      </c>
      <c r="L20" s="33"/>
      <c r="M20" s="45"/>
      <c r="N20" s="45"/>
    </row>
    <row r="21" spans="1:14" s="8" customFormat="1" ht="33.75" customHeight="1" x14ac:dyDescent="0.3">
      <c r="A21" s="51" t="s">
        <v>35</v>
      </c>
      <c r="B21" s="52" t="s">
        <v>36</v>
      </c>
      <c r="C21" s="43">
        <v>0</v>
      </c>
      <c r="D21" s="38"/>
      <c r="E21" s="38"/>
      <c r="F21" s="44">
        <f>0.26554</f>
        <v>0.26554</v>
      </c>
      <c r="G21" s="31"/>
      <c r="H21" s="43">
        <v>0</v>
      </c>
      <c r="I21" s="40">
        <f>0.98998</f>
        <v>0.98997999999999997</v>
      </c>
      <c r="J21" s="31"/>
      <c r="K21" s="32">
        <f t="shared" si="0"/>
        <v>-0.72443999999999997</v>
      </c>
      <c r="L21" s="33"/>
      <c r="M21" s="45"/>
      <c r="N21" s="45"/>
    </row>
    <row r="22" spans="1:14" s="8" customFormat="1" ht="31.5" customHeight="1" x14ac:dyDescent="0.3">
      <c r="A22" s="51" t="s">
        <v>37</v>
      </c>
      <c r="B22" s="52" t="s">
        <v>38</v>
      </c>
      <c r="C22" s="43">
        <v>0</v>
      </c>
      <c r="D22" s="38"/>
      <c r="E22" s="38"/>
      <c r="F22" s="40">
        <f>1.58827</f>
        <v>1.5882700000000001</v>
      </c>
      <c r="G22" s="31"/>
      <c r="H22" s="43">
        <v>0</v>
      </c>
      <c r="I22" s="40">
        <f>1.1774</f>
        <v>1.1774</v>
      </c>
      <c r="J22" s="31"/>
      <c r="K22" s="32">
        <f t="shared" si="0"/>
        <v>0.41087000000000007</v>
      </c>
      <c r="L22" s="33">
        <f>F22/I22*100</f>
        <v>134.89638185833192</v>
      </c>
      <c r="M22" s="45"/>
      <c r="N22" s="45"/>
    </row>
    <row r="23" spans="1:14" s="8" customFormat="1" ht="33.75" customHeight="1" x14ac:dyDescent="0.3">
      <c r="A23" s="51" t="s">
        <v>39</v>
      </c>
      <c r="B23" s="52" t="s">
        <v>40</v>
      </c>
      <c r="C23" s="43">
        <v>0</v>
      </c>
      <c r="D23" s="38"/>
      <c r="E23" s="38"/>
      <c r="F23" s="40">
        <f>1.12498</f>
        <v>1.1249800000000001</v>
      </c>
      <c r="G23" s="31"/>
      <c r="H23" s="43">
        <v>0</v>
      </c>
      <c r="I23" s="40">
        <f>1.02333</f>
        <v>1.0233300000000001</v>
      </c>
      <c r="J23" s="31"/>
      <c r="K23" s="32">
        <f t="shared" si="0"/>
        <v>0.10165000000000002</v>
      </c>
      <c r="L23" s="33">
        <f>F23/I23*100</f>
        <v>109.93325711158668</v>
      </c>
      <c r="M23" s="45"/>
      <c r="N23" s="45"/>
    </row>
    <row r="24" spans="1:14" s="8" customFormat="1" ht="19.5" customHeight="1" x14ac:dyDescent="0.3">
      <c r="A24" s="35">
        <v>13030000</v>
      </c>
      <c r="B24" s="36" t="s">
        <v>41</v>
      </c>
      <c r="C24" s="43">
        <f>C25+C26+C27</f>
        <v>748.80000000000007</v>
      </c>
      <c r="D24" s="43">
        <f>D25+D26+D27</f>
        <v>0</v>
      </c>
      <c r="E24" s="43">
        <f>E25+E26+E27</f>
        <v>0</v>
      </c>
      <c r="F24" s="44">
        <f>F25+F26+F27</f>
        <v>1568.34295</v>
      </c>
      <c r="G24" s="31">
        <f>F24/C24*100</f>
        <v>209.44750934829059</v>
      </c>
      <c r="H24" s="43">
        <f>H25+H26+H27</f>
        <v>3656.1</v>
      </c>
      <c r="I24" s="40">
        <f>I25+I26+I27</f>
        <v>910.74087999999995</v>
      </c>
      <c r="J24" s="31">
        <f>I24/H24*100</f>
        <v>24.910174229370092</v>
      </c>
      <c r="K24" s="32">
        <f t="shared" si="0"/>
        <v>657.60207000000003</v>
      </c>
      <c r="L24" s="33">
        <f>F24/I24*100</f>
        <v>172.20517761319775</v>
      </c>
      <c r="M24" s="45"/>
      <c r="N24" s="45"/>
    </row>
    <row r="25" spans="1:14" s="8" customFormat="1" ht="33" customHeight="1" x14ac:dyDescent="0.3">
      <c r="A25" s="51" t="s">
        <v>42</v>
      </c>
      <c r="B25" s="52" t="s">
        <v>43</v>
      </c>
      <c r="C25" s="43">
        <v>63.6</v>
      </c>
      <c r="D25" s="38"/>
      <c r="E25" s="38"/>
      <c r="F25" s="44">
        <f>96.975</f>
        <v>96.974999999999994</v>
      </c>
      <c r="G25" s="31">
        <f>F25/C25*100</f>
        <v>152.47641509433961</v>
      </c>
      <c r="H25" s="43">
        <v>46.6</v>
      </c>
      <c r="I25" s="40">
        <f>101.69792</f>
        <v>101.69792</v>
      </c>
      <c r="J25" s="31">
        <f>I25/H25*100</f>
        <v>218.23587982832615</v>
      </c>
      <c r="K25" s="32">
        <f t="shared" si="0"/>
        <v>-4.722920000000002</v>
      </c>
      <c r="L25" s="33">
        <f>F25/I25*100</f>
        <v>95.355932550046248</v>
      </c>
      <c r="M25" s="45"/>
      <c r="N25" s="45"/>
    </row>
    <row r="26" spans="1:14" s="8" customFormat="1" ht="34.5" customHeight="1" x14ac:dyDescent="0.3">
      <c r="A26" s="51">
        <v>13030200</v>
      </c>
      <c r="B26" s="52" t="s">
        <v>44</v>
      </c>
      <c r="C26" s="43">
        <v>685.2</v>
      </c>
      <c r="D26" s="38"/>
      <c r="E26" s="38"/>
      <c r="F26" s="44">
        <f>1471.36795</f>
        <v>1471.3679500000001</v>
      </c>
      <c r="G26" s="31">
        <f>F26/C26*100</f>
        <v>214.73554436660828</v>
      </c>
      <c r="H26" s="43">
        <v>3609.5</v>
      </c>
      <c r="I26" s="40">
        <f>809.04296</f>
        <v>809.04295999999999</v>
      </c>
      <c r="J26" s="31">
        <f>I26/H26*100</f>
        <v>22.414266795955118</v>
      </c>
      <c r="K26" s="32">
        <f t="shared" si="0"/>
        <v>662.32499000000007</v>
      </c>
      <c r="L26" s="33">
        <f>F26/I26*100</f>
        <v>181.8652435959643</v>
      </c>
      <c r="M26" s="45"/>
      <c r="N26" s="45"/>
    </row>
    <row r="27" spans="1:14" s="8" customFormat="1" ht="33" customHeight="1" thickBot="1" x14ac:dyDescent="0.35">
      <c r="A27" s="53" t="s">
        <v>45</v>
      </c>
      <c r="B27" s="52" t="s">
        <v>46</v>
      </c>
      <c r="C27" s="43"/>
      <c r="D27" s="38"/>
      <c r="E27" s="38"/>
      <c r="F27" s="44">
        <v>0</v>
      </c>
      <c r="G27" s="31"/>
      <c r="H27" s="43">
        <v>0</v>
      </c>
      <c r="I27" s="40">
        <v>0</v>
      </c>
      <c r="J27" s="31"/>
      <c r="K27" s="32">
        <f t="shared" si="0"/>
        <v>0</v>
      </c>
      <c r="L27" s="33"/>
      <c r="M27" s="45"/>
      <c r="N27" s="45"/>
    </row>
    <row r="28" spans="1:14" s="57" customFormat="1" ht="18.75" x14ac:dyDescent="0.3">
      <c r="A28" s="54">
        <v>13050000</v>
      </c>
      <c r="B28" s="55" t="s">
        <v>47</v>
      </c>
      <c r="C28" s="37">
        <v>350044.1</v>
      </c>
      <c r="D28" s="56">
        <f>SUM(C28:C28)</f>
        <v>350044.1</v>
      </c>
      <c r="E28" s="56" t="e">
        <f>#REF!-D28</f>
        <v>#REF!</v>
      </c>
      <c r="F28" s="40">
        <f>91658.29979+163998.59439+4240.7257+2110.54013</f>
        <v>262008.16001000002</v>
      </c>
      <c r="G28" s="31">
        <f>F28/C28*100</f>
        <v>74.850043183130367</v>
      </c>
      <c r="H28" s="37">
        <v>433086.9</v>
      </c>
      <c r="I28" s="40">
        <f>85204.09066+174393.50958+4518.92186+2666.12447</f>
        <v>266782.64656999998</v>
      </c>
      <c r="J28" s="31">
        <f>I28/H28*100</f>
        <v>61.6002577242581</v>
      </c>
      <c r="K28" s="32">
        <f t="shared" si="0"/>
        <v>-4774.4865599999612</v>
      </c>
      <c r="L28" s="33">
        <f>F28/I28*100</f>
        <v>98.210345904658681</v>
      </c>
      <c r="M28" s="41"/>
      <c r="N28" s="41"/>
    </row>
    <row r="29" spans="1:14" s="8" customFormat="1" ht="19.5" customHeight="1" x14ac:dyDescent="0.3">
      <c r="A29" s="35">
        <v>13070000</v>
      </c>
      <c r="B29" s="36" t="s">
        <v>48</v>
      </c>
      <c r="C29" s="37">
        <v>3.6</v>
      </c>
      <c r="D29" s="38">
        <f>SUM(C29:C29)</f>
        <v>3.6</v>
      </c>
      <c r="E29" s="38" t="e">
        <f>#REF!-D29</f>
        <v>#REF!</v>
      </c>
      <c r="F29" s="40">
        <f>17.98057</f>
        <v>17.98057</v>
      </c>
      <c r="G29" s="31">
        <f>F29/C29*100</f>
        <v>499.46027777777778</v>
      </c>
      <c r="H29" s="37">
        <v>8</v>
      </c>
      <c r="I29" s="40">
        <f>0.36396</f>
        <v>0.36396000000000001</v>
      </c>
      <c r="J29" s="31">
        <f>I29/H29*100</f>
        <v>4.5495000000000001</v>
      </c>
      <c r="K29" s="32">
        <f t="shared" si="0"/>
        <v>17.616610000000001</v>
      </c>
      <c r="L29" s="33"/>
      <c r="M29" s="41"/>
      <c r="N29" s="41"/>
    </row>
    <row r="30" spans="1:14" s="8" customFormat="1" ht="19.5" customHeight="1" x14ac:dyDescent="0.3">
      <c r="A30" s="27">
        <v>16010000</v>
      </c>
      <c r="B30" s="28" t="s">
        <v>49</v>
      </c>
      <c r="C30" s="29"/>
      <c r="D30" s="38"/>
      <c r="E30" s="38"/>
      <c r="F30" s="30">
        <f>0.00122-1.80999-1.17863</f>
        <v>-2.9874000000000001</v>
      </c>
      <c r="G30" s="31"/>
      <c r="H30" s="29"/>
      <c r="I30" s="30">
        <f>-52.49021-20.86709-0.21436-1.12432</f>
        <v>-74.695979999999992</v>
      </c>
      <c r="J30" s="31"/>
      <c r="K30" s="32">
        <f t="shared" si="0"/>
        <v>71.708579999999998</v>
      </c>
      <c r="L30" s="33">
        <f t="shared" ref="L30:L44" si="4">F30/I30*100</f>
        <v>3.9994120165502891</v>
      </c>
      <c r="M30" s="34"/>
      <c r="N30" s="34"/>
    </row>
    <row r="31" spans="1:14" s="8" customFormat="1" ht="19.5" customHeight="1" x14ac:dyDescent="0.3">
      <c r="A31" s="27">
        <v>18000000</v>
      </c>
      <c r="B31" s="28" t="s">
        <v>50</v>
      </c>
      <c r="C31" s="29">
        <f>C32+C34+C33</f>
        <v>8879.5</v>
      </c>
      <c r="D31" s="38">
        <f>SUM(C31:C31)</f>
        <v>8879.5</v>
      </c>
      <c r="E31" s="38"/>
      <c r="F31" s="30">
        <f>F32+F34+F33</f>
        <v>8867.5852800000011</v>
      </c>
      <c r="G31" s="31">
        <f t="shared" ref="G31:G44" si="5">F31/C31*100</f>
        <v>99.865817669913852</v>
      </c>
      <c r="H31" s="29">
        <f>H32+H34+H33</f>
        <v>7753.2999999999993</v>
      </c>
      <c r="I31" s="30">
        <f>I32+I34+I33</f>
        <v>7294.8261299999995</v>
      </c>
      <c r="J31" s="31">
        <f t="shared" ref="J31:J44" si="6">I31/H31*100</f>
        <v>94.086726039234918</v>
      </c>
      <c r="K31" s="32">
        <f t="shared" si="0"/>
        <v>1572.7591500000017</v>
      </c>
      <c r="L31" s="33">
        <f t="shared" si="4"/>
        <v>121.55992647353202</v>
      </c>
      <c r="M31" s="34"/>
      <c r="N31" s="34"/>
    </row>
    <row r="32" spans="1:14" s="8" customFormat="1" ht="24.75" customHeight="1" x14ac:dyDescent="0.3">
      <c r="A32" s="35">
        <v>18020000</v>
      </c>
      <c r="B32" s="58" t="s">
        <v>51</v>
      </c>
      <c r="C32" s="43">
        <v>1191.4000000000001</v>
      </c>
      <c r="D32" s="38">
        <f>SUM(C32:C32)</f>
        <v>1191.4000000000001</v>
      </c>
      <c r="E32" s="38"/>
      <c r="F32" s="44">
        <f>1825.14459</f>
        <v>1825.1445900000001</v>
      </c>
      <c r="G32" s="31">
        <f t="shared" si="5"/>
        <v>153.19326758435454</v>
      </c>
      <c r="H32" s="43">
        <v>1261.9000000000001</v>
      </c>
      <c r="I32" s="40">
        <f>1033.58327</f>
        <v>1033.5832700000001</v>
      </c>
      <c r="J32" s="31">
        <f t="shared" si="6"/>
        <v>81.906907837388061</v>
      </c>
      <c r="K32" s="32">
        <f t="shared" si="0"/>
        <v>791.56132000000002</v>
      </c>
      <c r="L32" s="33">
        <f t="shared" si="4"/>
        <v>176.58418464919617</v>
      </c>
      <c r="M32" s="45"/>
      <c r="N32" s="45"/>
    </row>
    <row r="33" spans="1:14" s="8" customFormat="1" ht="22.5" customHeight="1" x14ac:dyDescent="0.3">
      <c r="A33" s="35">
        <v>1803000</v>
      </c>
      <c r="B33" s="58" t="s">
        <v>52</v>
      </c>
      <c r="C33" s="43">
        <v>529.4</v>
      </c>
      <c r="D33" s="38"/>
      <c r="E33" s="38"/>
      <c r="F33" s="44">
        <f>587.90846+14.70206</f>
        <v>602.61051999999995</v>
      </c>
      <c r="G33" s="31">
        <f t="shared" si="5"/>
        <v>113.82896108802419</v>
      </c>
      <c r="H33" s="43">
        <v>715</v>
      </c>
      <c r="I33" s="40">
        <f>462.48216+22.36478</f>
        <v>484.84694000000002</v>
      </c>
      <c r="J33" s="31">
        <f t="shared" si="6"/>
        <v>67.810760839160849</v>
      </c>
      <c r="K33" s="32">
        <f t="shared" si="0"/>
        <v>117.76357999999993</v>
      </c>
      <c r="L33" s="33">
        <f t="shared" si="4"/>
        <v>124.28881576523922</v>
      </c>
      <c r="M33" s="45"/>
      <c r="N33" s="45"/>
    </row>
    <row r="34" spans="1:14" s="8" customFormat="1" ht="32.25" customHeight="1" x14ac:dyDescent="0.3">
      <c r="A34" s="35">
        <v>18040000</v>
      </c>
      <c r="B34" s="36" t="s">
        <v>53</v>
      </c>
      <c r="C34" s="37">
        <v>7158.7</v>
      </c>
      <c r="D34" s="38">
        <f t="shared" ref="D34:D43" si="7">SUM(C34:C34)</f>
        <v>7158.7</v>
      </c>
      <c r="E34" s="38"/>
      <c r="F34" s="44">
        <f>670.70273+3240.21305+16.196+303.30168+500.78087+1075.5888+2.823+0.805+5.079+326.74484+255.2672+42.328</f>
        <v>6439.8301700000011</v>
      </c>
      <c r="G34" s="31">
        <f t="shared" si="5"/>
        <v>89.958095324570124</v>
      </c>
      <c r="H34" s="37">
        <v>5776.4</v>
      </c>
      <c r="I34" s="40">
        <f>644.86948+2816.27598+13.435+16.578+254.60344+436.38224+908.76304+2.181+1.113+8.122+385.56321+244.15353+44.356</f>
        <v>5776.395919999999</v>
      </c>
      <c r="J34" s="31">
        <f t="shared" si="6"/>
        <v>99.999929367772296</v>
      </c>
      <c r="K34" s="32">
        <f t="shared" si="0"/>
        <v>663.43425000000207</v>
      </c>
      <c r="L34" s="33">
        <f t="shared" si="4"/>
        <v>111.4852627691767</v>
      </c>
      <c r="M34" s="41"/>
      <c r="N34" s="41"/>
    </row>
    <row r="35" spans="1:14" s="8" customFormat="1" ht="22.5" customHeight="1" x14ac:dyDescent="0.3">
      <c r="A35" s="27">
        <v>19000000</v>
      </c>
      <c r="B35" s="28" t="s">
        <v>54</v>
      </c>
      <c r="C35" s="29">
        <f>C36</f>
        <v>2.7</v>
      </c>
      <c r="D35" s="38">
        <f t="shared" si="7"/>
        <v>2.7</v>
      </c>
      <c r="E35" s="38"/>
      <c r="F35" s="30">
        <f>F36</f>
        <v>3.2080000000000002</v>
      </c>
      <c r="G35" s="31">
        <f t="shared" si="5"/>
        <v>118.81481481481482</v>
      </c>
      <c r="H35" s="29">
        <f>H36</f>
        <v>2.9</v>
      </c>
      <c r="I35" s="30">
        <f>I36</f>
        <v>2.4811299999999998</v>
      </c>
      <c r="J35" s="31">
        <f t="shared" si="6"/>
        <v>85.556206896551728</v>
      </c>
      <c r="K35" s="32">
        <f t="shared" si="0"/>
        <v>0.72687000000000035</v>
      </c>
      <c r="L35" s="33">
        <f t="shared" si="4"/>
        <v>129.29592564678191</v>
      </c>
      <c r="M35" s="34"/>
      <c r="N35" s="34"/>
    </row>
    <row r="36" spans="1:14" s="8" customFormat="1" ht="24.75" customHeight="1" x14ac:dyDescent="0.3">
      <c r="A36" s="35">
        <v>19040000</v>
      </c>
      <c r="B36" s="36" t="s">
        <v>55</v>
      </c>
      <c r="C36" s="37">
        <v>2.7</v>
      </c>
      <c r="D36" s="38">
        <f t="shared" si="7"/>
        <v>2.7</v>
      </c>
      <c r="E36" s="38"/>
      <c r="F36" s="44">
        <f>3.208</f>
        <v>3.2080000000000002</v>
      </c>
      <c r="G36" s="31">
        <f t="shared" si="5"/>
        <v>118.81481481481482</v>
      </c>
      <c r="H36" s="37">
        <v>2.9</v>
      </c>
      <c r="I36" s="40">
        <f>2.48113</f>
        <v>2.4811299999999998</v>
      </c>
      <c r="J36" s="31">
        <f t="shared" si="6"/>
        <v>85.556206896551728</v>
      </c>
      <c r="K36" s="32">
        <f t="shared" si="0"/>
        <v>0.72687000000000035</v>
      </c>
      <c r="L36" s="33">
        <f t="shared" si="4"/>
        <v>129.29592564678191</v>
      </c>
      <c r="M36" s="41"/>
      <c r="N36" s="41"/>
    </row>
    <row r="37" spans="1:14" s="26" customFormat="1" ht="24.75" customHeight="1" x14ac:dyDescent="0.25">
      <c r="A37" s="18" t="s">
        <v>56</v>
      </c>
      <c r="B37" s="59" t="s">
        <v>57</v>
      </c>
      <c r="C37" s="60">
        <f>C38+C49+C64</f>
        <v>47809.8</v>
      </c>
      <c r="D37" s="38">
        <f t="shared" si="7"/>
        <v>47809.8</v>
      </c>
      <c r="E37" s="38" t="e">
        <f>#REF!-D37</f>
        <v>#REF!</v>
      </c>
      <c r="F37" s="61">
        <f>F38+F49+F64</f>
        <v>19279.779260000003</v>
      </c>
      <c r="G37" s="31">
        <f t="shared" si="5"/>
        <v>40.325998560964493</v>
      </c>
      <c r="H37" s="60">
        <f>H38+H49+H64</f>
        <v>22799.600000000002</v>
      </c>
      <c r="I37" s="62">
        <f>I38+I49+I64</f>
        <v>21311.398259999998</v>
      </c>
      <c r="J37" s="31">
        <f t="shared" si="6"/>
        <v>93.472684871664399</v>
      </c>
      <c r="K37" s="32">
        <f t="shared" si="0"/>
        <v>-2031.6189999999951</v>
      </c>
      <c r="L37" s="33">
        <f t="shared" si="4"/>
        <v>90.466984027917107</v>
      </c>
      <c r="M37" s="63"/>
      <c r="N37" s="63"/>
    </row>
    <row r="38" spans="1:14" s="8" customFormat="1" ht="29.25" customHeight="1" x14ac:dyDescent="0.3">
      <c r="A38" s="27" t="s">
        <v>58</v>
      </c>
      <c r="B38" s="28" t="s">
        <v>59</v>
      </c>
      <c r="C38" s="29">
        <f>C40+C43+C44</f>
        <v>2796.3</v>
      </c>
      <c r="D38" s="38">
        <f t="shared" si="7"/>
        <v>2796.3</v>
      </c>
      <c r="E38" s="38" t="e">
        <f>#REF!-D38</f>
        <v>#REF!</v>
      </c>
      <c r="F38" s="30">
        <f>F40+F43+F44</f>
        <v>2420.4366</v>
      </c>
      <c r="G38" s="31">
        <f t="shared" si="5"/>
        <v>86.558545220469895</v>
      </c>
      <c r="H38" s="29">
        <f>H40+H43+H44</f>
        <v>2603.1999999999998</v>
      </c>
      <c r="I38" s="30">
        <f>I40+I43+I44</f>
        <v>2845.4126299999998</v>
      </c>
      <c r="J38" s="31">
        <f t="shared" si="6"/>
        <v>109.30441879225567</v>
      </c>
      <c r="K38" s="32">
        <f t="shared" si="0"/>
        <v>-424.97602999999981</v>
      </c>
      <c r="L38" s="33">
        <f t="shared" si="4"/>
        <v>85.064520150105622</v>
      </c>
      <c r="M38" s="34"/>
      <c r="N38" s="34"/>
    </row>
    <row r="39" spans="1:14" s="8" customFormat="1" ht="31.5" customHeight="1" x14ac:dyDescent="0.3">
      <c r="A39" s="35" t="s">
        <v>60</v>
      </c>
      <c r="B39" s="36" t="s">
        <v>61</v>
      </c>
      <c r="C39" s="43">
        <f>C41</f>
        <v>1208.2</v>
      </c>
      <c r="D39" s="38">
        <f t="shared" si="7"/>
        <v>1208.2</v>
      </c>
      <c r="E39" s="38" t="e">
        <f>#REF!-D39</f>
        <v>#REF!</v>
      </c>
      <c r="F39" s="44">
        <f>F41</f>
        <v>1632.9080900000001</v>
      </c>
      <c r="G39" s="31">
        <f t="shared" si="5"/>
        <v>135.15213458036749</v>
      </c>
      <c r="H39" s="43">
        <f>H41</f>
        <v>1537.2</v>
      </c>
      <c r="I39" s="40">
        <f>I41</f>
        <v>1537.21821</v>
      </c>
      <c r="J39" s="31">
        <f t="shared" si="6"/>
        <v>100.00118462138954</v>
      </c>
      <c r="K39" s="32">
        <f t="shared" si="0"/>
        <v>95.68988000000013</v>
      </c>
      <c r="L39" s="33">
        <f t="shared" si="4"/>
        <v>106.22487291508212</v>
      </c>
      <c r="M39" s="45"/>
      <c r="N39" s="45"/>
    </row>
    <row r="40" spans="1:14" s="8" customFormat="1" ht="102" customHeight="1" x14ac:dyDescent="0.3">
      <c r="A40" s="27">
        <v>21010000</v>
      </c>
      <c r="B40" s="28" t="s">
        <v>62</v>
      </c>
      <c r="C40" s="29">
        <f>C41</f>
        <v>1208.2</v>
      </c>
      <c r="D40" s="38">
        <f t="shared" si="7"/>
        <v>1208.2</v>
      </c>
      <c r="E40" s="38"/>
      <c r="F40" s="30">
        <f>F41</f>
        <v>1632.9080900000001</v>
      </c>
      <c r="G40" s="31">
        <f t="shared" si="5"/>
        <v>135.15213458036749</v>
      </c>
      <c r="H40" s="29">
        <f>H41</f>
        <v>1537.2</v>
      </c>
      <c r="I40" s="30">
        <f>I41</f>
        <v>1537.21821</v>
      </c>
      <c r="J40" s="31">
        <f t="shared" si="6"/>
        <v>100.00118462138954</v>
      </c>
      <c r="K40" s="32">
        <f t="shared" si="0"/>
        <v>95.68988000000013</v>
      </c>
      <c r="L40" s="33">
        <f t="shared" si="4"/>
        <v>106.22487291508212</v>
      </c>
      <c r="M40" s="34"/>
      <c r="N40" s="34"/>
    </row>
    <row r="41" spans="1:14" s="8" customFormat="1" ht="44.25" customHeight="1" x14ac:dyDescent="0.3">
      <c r="A41" s="64" t="s">
        <v>63</v>
      </c>
      <c r="B41" s="65" t="s">
        <v>64</v>
      </c>
      <c r="C41" s="43">
        <v>1208.2</v>
      </c>
      <c r="D41" s="38">
        <f t="shared" si="7"/>
        <v>1208.2</v>
      </c>
      <c r="E41" s="38" t="e">
        <f>#REF!-D41</f>
        <v>#REF!</v>
      </c>
      <c r="F41" s="66">
        <f>1193.171+439.73709</f>
        <v>1632.9080900000001</v>
      </c>
      <c r="G41" s="31">
        <f t="shared" si="5"/>
        <v>135.15213458036749</v>
      </c>
      <c r="H41" s="43">
        <v>1537.2</v>
      </c>
      <c r="I41" s="40">
        <f>923.10221+614.116</f>
        <v>1537.21821</v>
      </c>
      <c r="J41" s="31">
        <f t="shared" si="6"/>
        <v>100.00118462138954</v>
      </c>
      <c r="K41" s="32">
        <f t="shared" si="0"/>
        <v>95.68988000000013</v>
      </c>
      <c r="L41" s="33">
        <f t="shared" si="4"/>
        <v>106.22487291508212</v>
      </c>
      <c r="M41" s="45"/>
      <c r="N41" s="45"/>
    </row>
    <row r="42" spans="1:14" s="8" customFormat="1" ht="51" hidden="1" customHeight="1" x14ac:dyDescent="0.25">
      <c r="A42" s="64" t="s">
        <v>65</v>
      </c>
      <c r="B42" s="65" t="s">
        <v>66</v>
      </c>
      <c r="C42" s="67"/>
      <c r="D42" s="38">
        <f t="shared" si="7"/>
        <v>0</v>
      </c>
      <c r="E42" s="38" t="e">
        <f>#REF!-D42</f>
        <v>#REF!</v>
      </c>
      <c r="F42" s="68"/>
      <c r="G42" s="31" t="e">
        <f t="shared" si="5"/>
        <v>#DIV/0!</v>
      </c>
      <c r="H42" s="67"/>
      <c r="I42" s="66"/>
      <c r="J42" s="31" t="e">
        <f t="shared" si="6"/>
        <v>#DIV/0!</v>
      </c>
      <c r="K42" s="32">
        <f t="shared" si="0"/>
        <v>0</v>
      </c>
      <c r="L42" s="33" t="e">
        <f t="shared" si="4"/>
        <v>#DIV/0!</v>
      </c>
      <c r="M42" s="69"/>
      <c r="N42" s="69"/>
    </row>
    <row r="43" spans="1:14" s="8" customFormat="1" ht="57" hidden="1" customHeight="1" x14ac:dyDescent="0.3">
      <c r="A43" s="70">
        <v>21050000</v>
      </c>
      <c r="B43" s="28" t="s">
        <v>67</v>
      </c>
      <c r="C43" s="46"/>
      <c r="D43" s="38">
        <f t="shared" si="7"/>
        <v>0</v>
      </c>
      <c r="E43" s="38" t="e">
        <f>#REF!-D43</f>
        <v>#REF!</v>
      </c>
      <c r="F43" s="47"/>
      <c r="G43" s="31" t="e">
        <f t="shared" si="5"/>
        <v>#DIV/0!</v>
      </c>
      <c r="H43" s="46"/>
      <c r="I43" s="30"/>
      <c r="J43" s="31" t="e">
        <f t="shared" si="6"/>
        <v>#DIV/0!</v>
      </c>
      <c r="K43" s="32">
        <f t="shared" si="0"/>
        <v>0</v>
      </c>
      <c r="L43" s="33" t="e">
        <f t="shared" si="4"/>
        <v>#DIV/0!</v>
      </c>
      <c r="M43" s="48"/>
      <c r="N43" s="48"/>
    </row>
    <row r="44" spans="1:14" s="8" customFormat="1" ht="17.25" customHeight="1" x14ac:dyDescent="0.3">
      <c r="A44" s="27">
        <v>21080000</v>
      </c>
      <c r="B44" s="28" t="s">
        <v>68</v>
      </c>
      <c r="C44" s="29">
        <f>C45+C47+C46</f>
        <v>1588.1000000000001</v>
      </c>
      <c r="D44" s="38"/>
      <c r="E44" s="38"/>
      <c r="F44" s="30">
        <f>F45+F47+F46</f>
        <v>787.52850999999998</v>
      </c>
      <c r="G44" s="31">
        <f t="shared" si="5"/>
        <v>49.589352685599138</v>
      </c>
      <c r="H44" s="29">
        <f>H45+H47+H46</f>
        <v>1066</v>
      </c>
      <c r="I44" s="30">
        <f>I45+I47+I46</f>
        <v>1308.19442</v>
      </c>
      <c r="J44" s="31">
        <f t="shared" si="6"/>
        <v>122.71992682926829</v>
      </c>
      <c r="K44" s="32">
        <f t="shared" si="0"/>
        <v>-520.66591000000005</v>
      </c>
      <c r="L44" s="33">
        <f t="shared" si="4"/>
        <v>60.199653656984708</v>
      </c>
      <c r="M44" s="34"/>
      <c r="N44" s="34"/>
    </row>
    <row r="45" spans="1:14" s="8" customFormat="1" ht="21" customHeight="1" x14ac:dyDescent="0.25">
      <c r="A45" s="64">
        <v>21080500</v>
      </c>
      <c r="B45" s="65" t="s">
        <v>68</v>
      </c>
      <c r="C45" s="32"/>
      <c r="D45" s="38">
        <f>SUM(C45:C45)</f>
        <v>0</v>
      </c>
      <c r="E45" s="38" t="e">
        <f>#REF!-D45</f>
        <v>#REF!</v>
      </c>
      <c r="F45" s="66">
        <v>0</v>
      </c>
      <c r="G45" s="31"/>
      <c r="H45" s="32">
        <v>0</v>
      </c>
      <c r="I45" s="66">
        <f>2.56184</f>
        <v>2.5618400000000001</v>
      </c>
      <c r="J45" s="31"/>
      <c r="K45" s="32">
        <f t="shared" si="0"/>
        <v>-2.5618400000000001</v>
      </c>
      <c r="L45" s="33"/>
      <c r="M45" s="71"/>
      <c r="N45" s="71"/>
    </row>
    <row r="46" spans="1:14" s="8" customFormat="1" ht="71.25" customHeight="1" x14ac:dyDescent="0.25">
      <c r="A46" s="64">
        <v>21080900</v>
      </c>
      <c r="B46" s="36" t="s">
        <v>69</v>
      </c>
      <c r="C46" s="32">
        <v>41.4</v>
      </c>
      <c r="D46" s="38">
        <f>SUM(C46:C46)</f>
        <v>41.4</v>
      </c>
      <c r="E46" s="38"/>
      <c r="F46" s="66">
        <f>2.55287</f>
        <v>2.55287</v>
      </c>
      <c r="G46" s="31">
        <f t="shared" ref="G46:G53" si="8">F46/C46*100</f>
        <v>6.1663526570048308</v>
      </c>
      <c r="H46" s="32">
        <v>111.7</v>
      </c>
      <c r="I46" s="66">
        <f>33.5081</f>
        <v>33.508099999999999</v>
      </c>
      <c r="J46" s="31">
        <f t="shared" ref="J46:J53" si="9">I46/H46*100</f>
        <v>29.998299015219338</v>
      </c>
      <c r="K46" s="32">
        <f t="shared" si="0"/>
        <v>-30.95523</v>
      </c>
      <c r="L46" s="33">
        <f t="shared" ref="L46:L52" si="10">F46/I46*100</f>
        <v>7.6186653376347806</v>
      </c>
      <c r="M46" s="71"/>
      <c r="N46" s="71"/>
    </row>
    <row r="47" spans="1:14" s="8" customFormat="1" ht="35.25" customHeight="1" x14ac:dyDescent="0.25">
      <c r="A47" s="64">
        <v>21081100</v>
      </c>
      <c r="B47" s="65" t="s">
        <v>70</v>
      </c>
      <c r="C47" s="67">
        <v>1546.7</v>
      </c>
      <c r="D47" s="38">
        <f>SUM(C47:C47)</f>
        <v>1546.7</v>
      </c>
      <c r="E47" s="38" t="e">
        <f>#REF!-D47</f>
        <v>#REF!</v>
      </c>
      <c r="F47" s="66">
        <f>784.97564</f>
        <v>784.97564</v>
      </c>
      <c r="G47" s="31">
        <f t="shared" si="8"/>
        <v>50.751641559449148</v>
      </c>
      <c r="H47" s="67">
        <v>954.3</v>
      </c>
      <c r="I47" s="66">
        <f>1272.12448</f>
        <v>1272.1244799999999</v>
      </c>
      <c r="J47" s="31">
        <f t="shared" si="9"/>
        <v>133.30446190925284</v>
      </c>
      <c r="K47" s="32">
        <f t="shared" si="0"/>
        <v>-487.14883999999995</v>
      </c>
      <c r="L47" s="33">
        <f t="shared" si="10"/>
        <v>61.705882745059668</v>
      </c>
      <c r="M47" s="69"/>
      <c r="N47" s="69"/>
    </row>
    <row r="48" spans="1:14" s="8" customFormat="1" ht="0.75" customHeight="1" x14ac:dyDescent="0.3">
      <c r="A48" s="64" t="s">
        <v>71</v>
      </c>
      <c r="B48" s="65" t="s">
        <v>72</v>
      </c>
      <c r="C48" s="43" t="s">
        <v>22</v>
      </c>
      <c r="D48" s="38">
        <f>SUM(C48:C48)</f>
        <v>0</v>
      </c>
      <c r="E48" s="38" t="e">
        <f>#REF!-D48</f>
        <v>#REF!</v>
      </c>
      <c r="F48" s="44" t="s">
        <v>22</v>
      </c>
      <c r="G48" s="31" t="e">
        <f t="shared" si="8"/>
        <v>#VALUE!</v>
      </c>
      <c r="H48" s="43" t="s">
        <v>22</v>
      </c>
      <c r="I48" s="40" t="s">
        <v>22</v>
      </c>
      <c r="J48" s="31" t="e">
        <f t="shared" si="9"/>
        <v>#VALUE!</v>
      </c>
      <c r="K48" s="32" t="e">
        <f t="shared" si="0"/>
        <v>#VALUE!</v>
      </c>
      <c r="L48" s="33" t="e">
        <f t="shared" si="10"/>
        <v>#VALUE!</v>
      </c>
      <c r="M48" s="45"/>
      <c r="N48" s="45"/>
    </row>
    <row r="49" spans="1:14" s="8" customFormat="1" ht="72" x14ac:dyDescent="0.3">
      <c r="A49" s="18" t="s">
        <v>73</v>
      </c>
      <c r="B49" s="72" t="s">
        <v>74</v>
      </c>
      <c r="C49" s="29">
        <f>C50+C60+C61+C63</f>
        <v>44691.6</v>
      </c>
      <c r="D49" s="38">
        <f>SUM(C49:C49)</f>
        <v>44691.6</v>
      </c>
      <c r="E49" s="38" t="e">
        <f>#REF!-D49</f>
        <v>#REF!</v>
      </c>
      <c r="F49" s="30">
        <f>F50+F60+F61+F63</f>
        <v>16762.521700000001</v>
      </c>
      <c r="G49" s="31">
        <f t="shared" si="8"/>
        <v>37.507096859365078</v>
      </c>
      <c r="H49" s="29">
        <f>H50+H60+H61+H63</f>
        <v>19984</v>
      </c>
      <c r="I49" s="30">
        <f>I50+I60+I61+I63</f>
        <v>18254.094709999998</v>
      </c>
      <c r="J49" s="31">
        <f t="shared" si="9"/>
        <v>91.343548388710957</v>
      </c>
      <c r="K49" s="32">
        <f t="shared" si="0"/>
        <v>-1491.5730099999964</v>
      </c>
      <c r="L49" s="33">
        <f t="shared" si="10"/>
        <v>91.828830551739827</v>
      </c>
      <c r="M49" s="34"/>
      <c r="N49" s="34"/>
    </row>
    <row r="50" spans="1:14" s="8" customFormat="1" ht="18.75" x14ac:dyDescent="0.3">
      <c r="A50" s="27">
        <v>22010000</v>
      </c>
      <c r="B50" s="28" t="s">
        <v>75</v>
      </c>
      <c r="C50" s="29">
        <f>C51+C52+C53+C54+C55+C56+C57+C58+C59</f>
        <v>23893.9</v>
      </c>
      <c r="D50" s="29">
        <f>D51+D52+D53+D54+D55+D56+D57+D58+D59</f>
        <v>0</v>
      </c>
      <c r="E50" s="29">
        <f>E51+E52+E53+E54+E55+E56+E57+E58+E59</f>
        <v>0</v>
      </c>
      <c r="F50" s="30">
        <f>F51+F52+F53+F54+F55+F56+F57+F58+F59</f>
        <v>11487.41545</v>
      </c>
      <c r="G50" s="31">
        <f t="shared" si="8"/>
        <v>48.076770430946809</v>
      </c>
      <c r="H50" s="29">
        <f>H51+H52+H53+H54+H55+H56+H57+H58+H59</f>
        <v>12449.899999999998</v>
      </c>
      <c r="I50" s="30">
        <f>I51+I52+I53+I54+I55+I56+I57+I58+I59</f>
        <v>12170.573909999999</v>
      </c>
      <c r="J50" s="31">
        <f t="shared" si="9"/>
        <v>97.756398926899024</v>
      </c>
      <c r="K50" s="32">
        <f t="shared" si="0"/>
        <v>-683.15845999999874</v>
      </c>
      <c r="L50" s="33">
        <f t="shared" si="10"/>
        <v>94.386801599892678</v>
      </c>
      <c r="M50" s="34"/>
      <c r="N50" s="34"/>
    </row>
    <row r="51" spans="1:14" s="8" customFormat="1" ht="39" customHeight="1" x14ac:dyDescent="0.3">
      <c r="A51" s="51" t="s">
        <v>76</v>
      </c>
      <c r="B51" s="73" t="s">
        <v>77</v>
      </c>
      <c r="C51" s="32">
        <v>11.2</v>
      </c>
      <c r="D51" s="32"/>
      <c r="E51" s="32"/>
      <c r="F51" s="66">
        <f>0.476</f>
        <v>0.47599999999999998</v>
      </c>
      <c r="G51" s="31">
        <f t="shared" si="8"/>
        <v>4.25</v>
      </c>
      <c r="H51" s="32">
        <v>6.9</v>
      </c>
      <c r="I51" s="66">
        <f>7.902</f>
        <v>7.9020000000000001</v>
      </c>
      <c r="J51" s="31">
        <f t="shared" si="9"/>
        <v>114.52173913043478</v>
      </c>
      <c r="K51" s="32">
        <f t="shared" si="0"/>
        <v>-7.4260000000000002</v>
      </c>
      <c r="L51" s="33">
        <f t="shared" si="10"/>
        <v>6.0237914452037451</v>
      </c>
      <c r="M51" s="34"/>
      <c r="N51" s="34"/>
    </row>
    <row r="52" spans="1:14" s="8" customFormat="1" ht="33.75" customHeight="1" x14ac:dyDescent="0.3">
      <c r="A52" s="51" t="s">
        <v>78</v>
      </c>
      <c r="B52" s="74" t="s">
        <v>79</v>
      </c>
      <c r="C52" s="32">
        <v>182.4</v>
      </c>
      <c r="D52" s="32"/>
      <c r="E52" s="32"/>
      <c r="F52" s="66">
        <f>81.21258</f>
        <v>81.212580000000003</v>
      </c>
      <c r="G52" s="31">
        <f t="shared" si="8"/>
        <v>44.524440789473687</v>
      </c>
      <c r="H52" s="32">
        <v>508.8</v>
      </c>
      <c r="I52" s="66">
        <f>156.76555</f>
        <v>156.76554999999999</v>
      </c>
      <c r="J52" s="31">
        <f t="shared" si="9"/>
        <v>30.810839229559743</v>
      </c>
      <c r="K52" s="32">
        <f t="shared" si="0"/>
        <v>-75.552969999999988</v>
      </c>
      <c r="L52" s="33">
        <f t="shared" si="10"/>
        <v>51.805119173185702</v>
      </c>
      <c r="M52" s="34"/>
      <c r="N52" s="34"/>
    </row>
    <row r="53" spans="1:14" s="8" customFormat="1" ht="36" customHeight="1" x14ac:dyDescent="0.3">
      <c r="A53" s="51" t="s">
        <v>80</v>
      </c>
      <c r="B53" s="74" t="s">
        <v>81</v>
      </c>
      <c r="C53" s="32">
        <v>2.4</v>
      </c>
      <c r="D53" s="32"/>
      <c r="E53" s="32"/>
      <c r="F53" s="66">
        <f>1.56</f>
        <v>1.56</v>
      </c>
      <c r="G53" s="31">
        <f t="shared" si="8"/>
        <v>65</v>
      </c>
      <c r="H53" s="32">
        <v>0.8</v>
      </c>
      <c r="I53" s="66">
        <v>1.56</v>
      </c>
      <c r="J53" s="31">
        <f t="shared" si="9"/>
        <v>195</v>
      </c>
      <c r="K53" s="32">
        <f t="shared" si="0"/>
        <v>0</v>
      </c>
      <c r="L53" s="33"/>
      <c r="M53" s="34"/>
      <c r="N53" s="34"/>
    </row>
    <row r="54" spans="1:14" s="8" customFormat="1" ht="38.25" customHeight="1" x14ac:dyDescent="0.3">
      <c r="A54" s="51" t="s">
        <v>82</v>
      </c>
      <c r="B54" s="74" t="s">
        <v>83</v>
      </c>
      <c r="C54" s="32">
        <v>0</v>
      </c>
      <c r="D54" s="32"/>
      <c r="E54" s="32"/>
      <c r="F54" s="66">
        <v>0</v>
      </c>
      <c r="G54" s="31"/>
      <c r="H54" s="32">
        <v>0</v>
      </c>
      <c r="I54" s="66">
        <v>0</v>
      </c>
      <c r="J54" s="31"/>
      <c r="K54" s="32">
        <f t="shared" si="0"/>
        <v>0</v>
      </c>
      <c r="L54" s="33"/>
      <c r="M54" s="34"/>
      <c r="N54" s="34"/>
    </row>
    <row r="55" spans="1:14" s="8" customFormat="1" ht="36" customHeight="1" x14ac:dyDescent="0.3">
      <c r="A55" s="51" t="s">
        <v>84</v>
      </c>
      <c r="B55" s="74" t="s">
        <v>85</v>
      </c>
      <c r="C55" s="32">
        <v>6</v>
      </c>
      <c r="D55" s="32"/>
      <c r="E55" s="32"/>
      <c r="F55" s="66">
        <f>5.46</f>
        <v>5.46</v>
      </c>
      <c r="G55" s="31">
        <f>F55/C55*100</f>
        <v>91</v>
      </c>
      <c r="H55" s="32">
        <v>1.8</v>
      </c>
      <c r="I55" s="66">
        <f>5.46</f>
        <v>5.46</v>
      </c>
      <c r="J55" s="31">
        <f>I55/H55*100</f>
        <v>303.33333333333331</v>
      </c>
      <c r="K55" s="32">
        <f t="shared" si="0"/>
        <v>0</v>
      </c>
      <c r="L55" s="33">
        <f>F55/I55*100</f>
        <v>100</v>
      </c>
      <c r="M55" s="34"/>
      <c r="N55" s="34"/>
    </row>
    <row r="56" spans="1:14" s="8" customFormat="1" ht="51" customHeight="1" x14ac:dyDescent="0.3">
      <c r="A56" s="51" t="s">
        <v>86</v>
      </c>
      <c r="B56" s="74" t="s">
        <v>87</v>
      </c>
      <c r="C56" s="32">
        <v>1308.9000000000001</v>
      </c>
      <c r="D56" s="32"/>
      <c r="E56" s="32"/>
      <c r="F56" s="66">
        <f>414.79935</f>
        <v>414.79935</v>
      </c>
      <c r="G56" s="31">
        <f>F56/C56*100</f>
        <v>31.690683016273201</v>
      </c>
      <c r="H56" s="32">
        <v>216.8</v>
      </c>
      <c r="I56" s="66">
        <f>406.8604</f>
        <v>406.86040000000003</v>
      </c>
      <c r="J56" s="31">
        <f>I56/H56*100</f>
        <v>187.66623616236163</v>
      </c>
      <c r="K56" s="32">
        <f t="shared" si="0"/>
        <v>7.9389499999999771</v>
      </c>
      <c r="L56" s="33">
        <f>F56/I56*100</f>
        <v>101.95127124684535</v>
      </c>
      <c r="M56" s="34"/>
      <c r="N56" s="34"/>
    </row>
    <row r="57" spans="1:14" s="8" customFormat="1" ht="36" customHeight="1" x14ac:dyDescent="0.3">
      <c r="A57" s="51" t="s">
        <v>88</v>
      </c>
      <c r="B57" s="74" t="s">
        <v>89</v>
      </c>
      <c r="C57" s="32">
        <v>7486.7</v>
      </c>
      <c r="D57" s="32"/>
      <c r="E57" s="32"/>
      <c r="F57" s="66">
        <f>2501.56</f>
        <v>2501.56</v>
      </c>
      <c r="G57" s="31">
        <f>F57/C57*100</f>
        <v>33.413386405225268</v>
      </c>
      <c r="H57" s="32">
        <v>2951.1</v>
      </c>
      <c r="I57" s="66">
        <f>3500</f>
        <v>3500</v>
      </c>
      <c r="J57" s="31">
        <f>I57/H57*100</f>
        <v>118.59984412591915</v>
      </c>
      <c r="K57" s="32">
        <f t="shared" si="0"/>
        <v>-998.44</v>
      </c>
      <c r="L57" s="33">
        <f>F57/I57*100</f>
        <v>71.473142857142861</v>
      </c>
      <c r="M57" s="34"/>
      <c r="N57" s="34"/>
    </row>
    <row r="58" spans="1:14" s="8" customFormat="1" ht="34.5" customHeight="1" x14ac:dyDescent="0.3">
      <c r="A58" s="51" t="s">
        <v>90</v>
      </c>
      <c r="B58" s="74" t="s">
        <v>91</v>
      </c>
      <c r="C58" s="32">
        <v>11742.2</v>
      </c>
      <c r="D58" s="32"/>
      <c r="E58" s="32"/>
      <c r="F58" s="66">
        <f>7503.159</f>
        <v>7503.1589999999997</v>
      </c>
      <c r="G58" s="31">
        <f>F58/C58*100</f>
        <v>63.899090460050068</v>
      </c>
      <c r="H58" s="32">
        <v>7007.4</v>
      </c>
      <c r="I58" s="66">
        <f>6789.51800999999</f>
        <v>6789.5180099999998</v>
      </c>
      <c r="J58" s="31">
        <f>I58/H58*100</f>
        <v>96.890687130747494</v>
      </c>
      <c r="K58" s="32">
        <f t="shared" si="0"/>
        <v>713.64098999999987</v>
      </c>
      <c r="L58" s="33">
        <f>F58/I58*100</f>
        <v>110.51092270392253</v>
      </c>
      <c r="M58" s="34"/>
      <c r="N58" s="34"/>
    </row>
    <row r="59" spans="1:14" s="8" customFormat="1" ht="35.25" customHeight="1" x14ac:dyDescent="0.3">
      <c r="A59" s="51" t="s">
        <v>92</v>
      </c>
      <c r="B59" s="75" t="s">
        <v>93</v>
      </c>
      <c r="C59" s="32">
        <v>3154.1</v>
      </c>
      <c r="D59" s="32"/>
      <c r="E59" s="32"/>
      <c r="F59" s="66">
        <f>979.18852</f>
        <v>979.18852000000004</v>
      </c>
      <c r="G59" s="31">
        <f>F59/C59*100</f>
        <v>31.044942138803467</v>
      </c>
      <c r="H59" s="32">
        <v>1756.3</v>
      </c>
      <c r="I59" s="66">
        <f>1302.50795</f>
        <v>1302.5079499999999</v>
      </c>
      <c r="J59" s="31">
        <f>I59/H59*100</f>
        <v>74.162042361783293</v>
      </c>
      <c r="K59" s="32">
        <f t="shared" si="0"/>
        <v>-323.3194299999999</v>
      </c>
      <c r="L59" s="33">
        <f>F59/I59*100</f>
        <v>75.177162642270261</v>
      </c>
      <c r="M59" s="34"/>
      <c r="N59" s="34"/>
    </row>
    <row r="60" spans="1:14" s="8" customFormat="1" ht="19.5" customHeight="1" x14ac:dyDescent="0.3">
      <c r="A60" s="76">
        <v>22020000</v>
      </c>
      <c r="B60" s="77" t="s">
        <v>94</v>
      </c>
      <c r="C60" s="46"/>
      <c r="D60" s="38">
        <f t="shared" ref="D60:D94" si="11">SUM(C60:C60)</f>
        <v>0</v>
      </c>
      <c r="E60" s="38"/>
      <c r="F60" s="47"/>
      <c r="G60" s="31"/>
      <c r="H60" s="46"/>
      <c r="I60" s="30"/>
      <c r="J60" s="31"/>
      <c r="K60" s="32">
        <f t="shared" si="0"/>
        <v>0</v>
      </c>
      <c r="L60" s="33"/>
      <c r="M60" s="48"/>
      <c r="N60" s="48"/>
    </row>
    <row r="61" spans="1:14" s="8" customFormat="1" ht="53.25" customHeight="1" x14ac:dyDescent="0.25">
      <c r="A61" s="27" t="s">
        <v>95</v>
      </c>
      <c r="B61" s="28" t="s">
        <v>96</v>
      </c>
      <c r="C61" s="78">
        <f>C62</f>
        <v>6527.6</v>
      </c>
      <c r="D61" s="38">
        <f t="shared" si="11"/>
        <v>6527.6</v>
      </c>
      <c r="E61" s="38"/>
      <c r="F61" s="62">
        <f>F62</f>
        <v>4430.5499399999999</v>
      </c>
      <c r="G61" s="31">
        <f t="shared" ref="G61:G92" si="12">F61/C61*100</f>
        <v>67.874102886206259</v>
      </c>
      <c r="H61" s="78">
        <f>H62</f>
        <v>6252.6</v>
      </c>
      <c r="I61" s="62">
        <f>I62</f>
        <v>5063.5028299999994</v>
      </c>
      <c r="J61" s="31">
        <f t="shared" ref="J61:J92" si="13">I61/H61*100</f>
        <v>80.982356619646211</v>
      </c>
      <c r="K61" s="32">
        <f t="shared" si="0"/>
        <v>-632.95288999999957</v>
      </c>
      <c r="L61" s="33">
        <f t="shared" ref="L61:L92" si="14">F61/I61*100</f>
        <v>87.499703046477819</v>
      </c>
      <c r="M61" s="25"/>
      <c r="N61" s="25"/>
    </row>
    <row r="62" spans="1:14" s="8" customFormat="1" ht="54.75" customHeight="1" x14ac:dyDescent="0.25">
      <c r="A62" s="64" t="s">
        <v>97</v>
      </c>
      <c r="B62" s="65" t="s">
        <v>98</v>
      </c>
      <c r="C62" s="67">
        <v>6527.6</v>
      </c>
      <c r="D62" s="38">
        <f t="shared" si="11"/>
        <v>6527.6</v>
      </c>
      <c r="E62" s="38" t="e">
        <f>#REF!-D62</f>
        <v>#REF!</v>
      </c>
      <c r="F62" s="31">
        <f>4090.82894+339.721</f>
        <v>4430.5499399999999</v>
      </c>
      <c r="G62" s="31">
        <f t="shared" si="12"/>
        <v>67.874102886206259</v>
      </c>
      <c r="H62" s="67">
        <v>6252.6</v>
      </c>
      <c r="I62" s="66">
        <f>680.08483+4383.418</f>
        <v>5063.5028299999994</v>
      </c>
      <c r="J62" s="31">
        <f t="shared" si="13"/>
        <v>80.982356619646211</v>
      </c>
      <c r="K62" s="32">
        <f t="shared" si="0"/>
        <v>-632.95288999999957</v>
      </c>
      <c r="L62" s="33">
        <f t="shared" si="14"/>
        <v>87.499703046477819</v>
      </c>
      <c r="M62" s="69"/>
      <c r="N62" s="69"/>
    </row>
    <row r="63" spans="1:14" s="8" customFormat="1" ht="21.75" customHeight="1" x14ac:dyDescent="0.3">
      <c r="A63" s="27">
        <v>22090000</v>
      </c>
      <c r="B63" s="28" t="s">
        <v>99</v>
      </c>
      <c r="C63" s="46">
        <v>14270.1</v>
      </c>
      <c r="D63" s="38">
        <f t="shared" si="11"/>
        <v>14270.1</v>
      </c>
      <c r="E63" s="38" t="e">
        <f>#REF!-D63</f>
        <v>#REF!</v>
      </c>
      <c r="F63" s="47">
        <f>771.96841+72.5879</f>
        <v>844.55630999999994</v>
      </c>
      <c r="G63" s="31">
        <f t="shared" si="12"/>
        <v>5.9183629406941778</v>
      </c>
      <c r="H63" s="46">
        <v>1281.5</v>
      </c>
      <c r="I63" s="30">
        <f>965.48754+54.53043</f>
        <v>1020.01797</v>
      </c>
      <c r="J63" s="31">
        <f t="shared" si="13"/>
        <v>79.595627779945374</v>
      </c>
      <c r="K63" s="32">
        <f t="shared" si="0"/>
        <v>-175.46166000000005</v>
      </c>
      <c r="L63" s="33">
        <f t="shared" si="14"/>
        <v>82.798179526190111</v>
      </c>
      <c r="M63" s="48"/>
      <c r="N63" s="48"/>
    </row>
    <row r="64" spans="1:14" s="8" customFormat="1" ht="23.25" customHeight="1" x14ac:dyDescent="0.25">
      <c r="A64" s="18" t="s">
        <v>100</v>
      </c>
      <c r="B64" s="72" t="s">
        <v>101</v>
      </c>
      <c r="C64" s="78">
        <f>C66+C65</f>
        <v>321.89999999999998</v>
      </c>
      <c r="D64" s="38">
        <f t="shared" si="11"/>
        <v>321.89999999999998</v>
      </c>
      <c r="E64" s="38" t="e">
        <f>#REF!-D64</f>
        <v>#REF!</v>
      </c>
      <c r="F64" s="62">
        <f>F66+F65</f>
        <v>96.820959999999999</v>
      </c>
      <c r="G64" s="31">
        <f t="shared" si="12"/>
        <v>30.077962100031069</v>
      </c>
      <c r="H64" s="78">
        <f>H66+H65</f>
        <v>212.4</v>
      </c>
      <c r="I64" s="62">
        <f>I66+I65</f>
        <v>211.89092000000002</v>
      </c>
      <c r="J64" s="31">
        <f t="shared" si="13"/>
        <v>99.76032015065914</v>
      </c>
      <c r="K64" s="32">
        <f t="shared" si="0"/>
        <v>-115.06996000000002</v>
      </c>
      <c r="L64" s="33">
        <f t="shared" si="14"/>
        <v>45.693774891345036</v>
      </c>
      <c r="M64" s="25"/>
      <c r="N64" s="25"/>
    </row>
    <row r="65" spans="1:14" s="8" customFormat="1" ht="24.75" customHeight="1" x14ac:dyDescent="0.3">
      <c r="A65" s="35" t="s">
        <v>102</v>
      </c>
      <c r="B65" s="36" t="s">
        <v>68</v>
      </c>
      <c r="C65" s="43">
        <v>318.89999999999998</v>
      </c>
      <c r="D65" s="38">
        <f t="shared" si="11"/>
        <v>318.89999999999998</v>
      </c>
      <c r="E65" s="38" t="e">
        <f>#REF!-D65</f>
        <v>#REF!</v>
      </c>
      <c r="F65" s="44">
        <f>95.06877</f>
        <v>95.068770000000001</v>
      </c>
      <c r="G65" s="31">
        <f t="shared" si="12"/>
        <v>29.811467544684856</v>
      </c>
      <c r="H65" s="43">
        <v>187.1</v>
      </c>
      <c r="I65" s="40">
        <f>186.62173</f>
        <v>186.62173000000001</v>
      </c>
      <c r="J65" s="31">
        <f t="shared" si="13"/>
        <v>99.744377338321769</v>
      </c>
      <c r="K65" s="32">
        <f t="shared" si="0"/>
        <v>-91.552960000000013</v>
      </c>
      <c r="L65" s="33">
        <f t="shared" si="14"/>
        <v>50.941961581858664</v>
      </c>
      <c r="M65" s="45"/>
      <c r="N65" s="45"/>
    </row>
    <row r="66" spans="1:14" s="8" customFormat="1" ht="57" customHeight="1" x14ac:dyDescent="0.3">
      <c r="A66" s="27">
        <v>24030000</v>
      </c>
      <c r="B66" s="79" t="s">
        <v>103</v>
      </c>
      <c r="C66" s="46">
        <v>3</v>
      </c>
      <c r="D66" s="38">
        <f t="shared" si="11"/>
        <v>3</v>
      </c>
      <c r="E66" s="38" t="e">
        <f>#REF!-D66</f>
        <v>#REF!</v>
      </c>
      <c r="F66" s="47">
        <f>1.75219</f>
        <v>1.7521899999999999</v>
      </c>
      <c r="G66" s="31">
        <f t="shared" si="12"/>
        <v>58.406333333333329</v>
      </c>
      <c r="H66" s="46">
        <v>25.3</v>
      </c>
      <c r="I66" s="30">
        <f>25.26919</f>
        <v>25.269189999999998</v>
      </c>
      <c r="J66" s="31">
        <f t="shared" si="13"/>
        <v>99.878221343873506</v>
      </c>
      <c r="K66" s="32">
        <f t="shared" si="0"/>
        <v>-23.516999999999999</v>
      </c>
      <c r="L66" s="33">
        <f t="shared" si="14"/>
        <v>6.9340964233519164</v>
      </c>
      <c r="M66" s="48"/>
      <c r="N66" s="48"/>
    </row>
    <row r="67" spans="1:14" s="8" customFormat="1" ht="84.75" customHeight="1" x14ac:dyDescent="0.25">
      <c r="A67" s="64">
        <v>31010200</v>
      </c>
      <c r="B67" s="36" t="s">
        <v>104</v>
      </c>
      <c r="C67" s="67">
        <v>43.4</v>
      </c>
      <c r="D67" s="38">
        <f t="shared" si="11"/>
        <v>43.4</v>
      </c>
      <c r="E67" s="38" t="e">
        <f>#REF!-D67</f>
        <v>#REF!</v>
      </c>
      <c r="F67" s="68">
        <f>51.71231</f>
        <v>51.712310000000002</v>
      </c>
      <c r="G67" s="31">
        <f t="shared" si="12"/>
        <v>119.15278801843318</v>
      </c>
      <c r="H67" s="67">
        <v>42.6</v>
      </c>
      <c r="I67" s="66">
        <f>42.60457</f>
        <v>42.604570000000002</v>
      </c>
      <c r="J67" s="31">
        <f t="shared" si="13"/>
        <v>100.01072769953052</v>
      </c>
      <c r="K67" s="32">
        <f t="shared" si="0"/>
        <v>9.1077399999999997</v>
      </c>
      <c r="L67" s="33">
        <f t="shared" si="14"/>
        <v>121.37737806061651</v>
      </c>
      <c r="M67" s="69"/>
      <c r="N67" s="69"/>
    </row>
    <row r="68" spans="1:14" s="8" customFormat="1" ht="55.5" hidden="1" customHeight="1" x14ac:dyDescent="0.25">
      <c r="A68" s="80">
        <v>24110900</v>
      </c>
      <c r="B68" s="81" t="s">
        <v>105</v>
      </c>
      <c r="C68" s="82"/>
      <c r="D68" s="38">
        <f t="shared" si="11"/>
        <v>0</v>
      </c>
      <c r="E68" s="38" t="e">
        <f>#REF!-D68</f>
        <v>#REF!</v>
      </c>
      <c r="F68" s="83"/>
      <c r="G68" s="31" t="e">
        <f t="shared" si="12"/>
        <v>#DIV/0!</v>
      </c>
      <c r="H68" s="82"/>
      <c r="I68" s="66"/>
      <c r="J68" s="31" t="e">
        <f t="shared" si="13"/>
        <v>#DIV/0!</v>
      </c>
      <c r="K68" s="32">
        <f t="shared" si="0"/>
        <v>0</v>
      </c>
      <c r="L68" s="33" t="e">
        <f t="shared" si="14"/>
        <v>#DIV/0!</v>
      </c>
      <c r="M68" s="84"/>
      <c r="N68" s="84"/>
    </row>
    <row r="69" spans="1:14" s="8" customFormat="1" ht="15" hidden="1" customHeight="1" x14ac:dyDescent="0.3">
      <c r="A69" s="27" t="s">
        <v>106</v>
      </c>
      <c r="B69" s="28" t="s">
        <v>107</v>
      </c>
      <c r="C69" s="46" t="s">
        <v>22</v>
      </c>
      <c r="D69" s="38">
        <f t="shared" si="11"/>
        <v>0</v>
      </c>
      <c r="E69" s="38" t="e">
        <f>#REF!-D69</f>
        <v>#REF!</v>
      </c>
      <c r="F69" s="47" t="s">
        <v>22</v>
      </c>
      <c r="G69" s="31" t="e">
        <f t="shared" si="12"/>
        <v>#VALUE!</v>
      </c>
      <c r="H69" s="46" t="s">
        <v>22</v>
      </c>
      <c r="I69" s="30" t="s">
        <v>22</v>
      </c>
      <c r="J69" s="31" t="e">
        <f t="shared" si="13"/>
        <v>#VALUE!</v>
      </c>
      <c r="K69" s="32" t="e">
        <f t="shared" si="0"/>
        <v>#VALUE!</v>
      </c>
      <c r="L69" s="33" t="e">
        <f t="shared" si="14"/>
        <v>#VALUE!</v>
      </c>
      <c r="M69" s="48"/>
      <c r="N69" s="48"/>
    </row>
    <row r="70" spans="1:14" s="8" customFormat="1" ht="15" hidden="1" customHeight="1" x14ac:dyDescent="0.25">
      <c r="A70" s="64"/>
      <c r="B70" s="65" t="s">
        <v>108</v>
      </c>
      <c r="C70" s="67" t="s">
        <v>22</v>
      </c>
      <c r="D70" s="38">
        <f t="shared" si="11"/>
        <v>0</v>
      </c>
      <c r="E70" s="38" t="e">
        <f>#REF!-D70</f>
        <v>#REF!</v>
      </c>
      <c r="F70" s="68" t="s">
        <v>22</v>
      </c>
      <c r="G70" s="31" t="e">
        <f t="shared" si="12"/>
        <v>#VALUE!</v>
      </c>
      <c r="H70" s="67" t="s">
        <v>22</v>
      </c>
      <c r="I70" s="66" t="s">
        <v>22</v>
      </c>
      <c r="J70" s="31" t="e">
        <f t="shared" si="13"/>
        <v>#VALUE!</v>
      </c>
      <c r="K70" s="32" t="e">
        <f t="shared" ref="K70:K94" si="15">F70-I70</f>
        <v>#VALUE!</v>
      </c>
      <c r="L70" s="33" t="e">
        <f t="shared" si="14"/>
        <v>#VALUE!</v>
      </c>
      <c r="M70" s="69"/>
      <c r="N70" s="69"/>
    </row>
    <row r="71" spans="1:14" s="8" customFormat="1" ht="15" hidden="1" customHeight="1" x14ac:dyDescent="0.25">
      <c r="A71" s="64"/>
      <c r="B71" s="65" t="s">
        <v>109</v>
      </c>
      <c r="C71" s="67"/>
      <c r="D71" s="38">
        <f t="shared" si="11"/>
        <v>0</v>
      </c>
      <c r="E71" s="38" t="e">
        <f>#REF!-D71</f>
        <v>#REF!</v>
      </c>
      <c r="F71" s="68"/>
      <c r="G71" s="31" t="e">
        <f t="shared" si="12"/>
        <v>#DIV/0!</v>
      </c>
      <c r="H71" s="67"/>
      <c r="I71" s="66"/>
      <c r="J71" s="31" t="e">
        <f t="shared" si="13"/>
        <v>#DIV/0!</v>
      </c>
      <c r="K71" s="32">
        <f t="shared" si="15"/>
        <v>0</v>
      </c>
      <c r="L71" s="33" t="e">
        <f t="shared" si="14"/>
        <v>#DIV/0!</v>
      </c>
      <c r="M71" s="69"/>
      <c r="N71" s="69"/>
    </row>
    <row r="72" spans="1:14" s="8" customFormat="1" ht="15" hidden="1" customHeight="1" x14ac:dyDescent="0.25">
      <c r="A72" s="64"/>
      <c r="B72" s="65" t="s">
        <v>110</v>
      </c>
      <c r="C72" s="67" t="s">
        <v>22</v>
      </c>
      <c r="D72" s="38">
        <f t="shared" si="11"/>
        <v>0</v>
      </c>
      <c r="E72" s="38" t="e">
        <f>#REF!-D72</f>
        <v>#REF!</v>
      </c>
      <c r="F72" s="68" t="s">
        <v>22</v>
      </c>
      <c r="G72" s="31" t="e">
        <f t="shared" si="12"/>
        <v>#VALUE!</v>
      </c>
      <c r="H72" s="67" t="s">
        <v>22</v>
      </c>
      <c r="I72" s="66" t="s">
        <v>22</v>
      </c>
      <c r="J72" s="31" t="e">
        <f t="shared" si="13"/>
        <v>#VALUE!</v>
      </c>
      <c r="K72" s="32" t="e">
        <f t="shared" si="15"/>
        <v>#VALUE!</v>
      </c>
      <c r="L72" s="33" t="e">
        <f t="shared" si="14"/>
        <v>#VALUE!</v>
      </c>
      <c r="M72" s="69"/>
      <c r="N72" s="69"/>
    </row>
    <row r="73" spans="1:14" s="8" customFormat="1" ht="15" hidden="1" customHeight="1" x14ac:dyDescent="0.25">
      <c r="A73" s="64" t="s">
        <v>22</v>
      </c>
      <c r="B73" s="65" t="s">
        <v>111</v>
      </c>
      <c r="C73" s="67" t="s">
        <v>22</v>
      </c>
      <c r="D73" s="38">
        <f t="shared" si="11"/>
        <v>0</v>
      </c>
      <c r="E73" s="38" t="e">
        <f>#REF!-D73</f>
        <v>#REF!</v>
      </c>
      <c r="F73" s="68" t="s">
        <v>22</v>
      </c>
      <c r="G73" s="31" t="e">
        <f t="shared" si="12"/>
        <v>#VALUE!</v>
      </c>
      <c r="H73" s="67" t="s">
        <v>22</v>
      </c>
      <c r="I73" s="66" t="s">
        <v>22</v>
      </c>
      <c r="J73" s="31" t="e">
        <f t="shared" si="13"/>
        <v>#VALUE!</v>
      </c>
      <c r="K73" s="32" t="e">
        <f t="shared" si="15"/>
        <v>#VALUE!</v>
      </c>
      <c r="L73" s="33" t="e">
        <f t="shared" si="14"/>
        <v>#VALUE!</v>
      </c>
      <c r="M73" s="69"/>
      <c r="N73" s="69"/>
    </row>
    <row r="74" spans="1:14" s="8" customFormat="1" ht="15" hidden="1" customHeight="1" x14ac:dyDescent="0.25">
      <c r="A74" s="64" t="s">
        <v>22</v>
      </c>
      <c r="B74" s="65" t="s">
        <v>112</v>
      </c>
      <c r="C74" s="67" t="s">
        <v>22</v>
      </c>
      <c r="D74" s="38">
        <f t="shared" si="11"/>
        <v>0</v>
      </c>
      <c r="E74" s="38" t="e">
        <f>#REF!-D74</f>
        <v>#REF!</v>
      </c>
      <c r="F74" s="68" t="s">
        <v>22</v>
      </c>
      <c r="G74" s="31" t="e">
        <f t="shared" si="12"/>
        <v>#VALUE!</v>
      </c>
      <c r="H74" s="67" t="s">
        <v>22</v>
      </c>
      <c r="I74" s="66" t="s">
        <v>22</v>
      </c>
      <c r="J74" s="31" t="e">
        <f t="shared" si="13"/>
        <v>#VALUE!</v>
      </c>
      <c r="K74" s="32" t="e">
        <f t="shared" si="15"/>
        <v>#VALUE!</v>
      </c>
      <c r="L74" s="33" t="e">
        <f t="shared" si="14"/>
        <v>#VALUE!</v>
      </c>
      <c r="M74" s="69"/>
      <c r="N74" s="69"/>
    </row>
    <row r="75" spans="1:14" s="8" customFormat="1" ht="15" hidden="1" customHeight="1" x14ac:dyDescent="0.25">
      <c r="A75" s="64" t="s">
        <v>22</v>
      </c>
      <c r="B75" s="65" t="s">
        <v>113</v>
      </c>
      <c r="C75" s="67" t="s">
        <v>22</v>
      </c>
      <c r="D75" s="38">
        <f t="shared" si="11"/>
        <v>0</v>
      </c>
      <c r="E75" s="38" t="e">
        <f>#REF!-D75</f>
        <v>#REF!</v>
      </c>
      <c r="F75" s="68" t="s">
        <v>22</v>
      </c>
      <c r="G75" s="31" t="e">
        <f t="shared" si="12"/>
        <v>#VALUE!</v>
      </c>
      <c r="H75" s="67" t="s">
        <v>22</v>
      </c>
      <c r="I75" s="66" t="s">
        <v>22</v>
      </c>
      <c r="J75" s="31" t="e">
        <f t="shared" si="13"/>
        <v>#VALUE!</v>
      </c>
      <c r="K75" s="32" t="e">
        <f t="shared" si="15"/>
        <v>#VALUE!</v>
      </c>
      <c r="L75" s="33" t="e">
        <f t="shared" si="14"/>
        <v>#VALUE!</v>
      </c>
      <c r="M75" s="69"/>
      <c r="N75" s="69"/>
    </row>
    <row r="76" spans="1:14" s="8" customFormat="1" ht="15" hidden="1" customHeight="1" x14ac:dyDescent="0.25">
      <c r="A76" s="64" t="s">
        <v>22</v>
      </c>
      <c r="B76" s="65" t="s">
        <v>114</v>
      </c>
      <c r="C76" s="67" t="s">
        <v>22</v>
      </c>
      <c r="D76" s="38">
        <f t="shared" si="11"/>
        <v>0</v>
      </c>
      <c r="E76" s="38" t="e">
        <f>#REF!-D76</f>
        <v>#REF!</v>
      </c>
      <c r="F76" s="68" t="s">
        <v>22</v>
      </c>
      <c r="G76" s="31" t="e">
        <f t="shared" si="12"/>
        <v>#VALUE!</v>
      </c>
      <c r="H76" s="67" t="s">
        <v>22</v>
      </c>
      <c r="I76" s="66" t="s">
        <v>22</v>
      </c>
      <c r="J76" s="31" t="e">
        <f t="shared" si="13"/>
        <v>#VALUE!</v>
      </c>
      <c r="K76" s="32" t="e">
        <f t="shared" si="15"/>
        <v>#VALUE!</v>
      </c>
      <c r="L76" s="33" t="e">
        <f t="shared" si="14"/>
        <v>#VALUE!</v>
      </c>
      <c r="M76" s="69"/>
      <c r="N76" s="69"/>
    </row>
    <row r="77" spans="1:14" s="26" customFormat="1" ht="12.75" hidden="1" customHeight="1" x14ac:dyDescent="0.25">
      <c r="A77" s="18" t="s">
        <v>115</v>
      </c>
      <c r="B77" s="59" t="s">
        <v>116</v>
      </c>
      <c r="C77" s="60" t="s">
        <v>22</v>
      </c>
      <c r="D77" s="38">
        <f t="shared" si="11"/>
        <v>0</v>
      </c>
      <c r="E77" s="38" t="e">
        <f>#REF!-D77</f>
        <v>#REF!</v>
      </c>
      <c r="F77" s="61" t="s">
        <v>22</v>
      </c>
      <c r="G77" s="31" t="e">
        <f t="shared" si="12"/>
        <v>#VALUE!</v>
      </c>
      <c r="H77" s="60" t="s">
        <v>22</v>
      </c>
      <c r="I77" s="62" t="s">
        <v>22</v>
      </c>
      <c r="J77" s="31" t="e">
        <f t="shared" si="13"/>
        <v>#VALUE!</v>
      </c>
      <c r="K77" s="32" t="e">
        <f t="shared" si="15"/>
        <v>#VALUE!</v>
      </c>
      <c r="L77" s="33" t="e">
        <f t="shared" si="14"/>
        <v>#VALUE!</v>
      </c>
      <c r="M77" s="63"/>
      <c r="N77" s="63"/>
    </row>
    <row r="78" spans="1:14" s="8" customFormat="1" ht="12.75" hidden="1" customHeight="1" x14ac:dyDescent="0.3">
      <c r="A78" s="27" t="s">
        <v>117</v>
      </c>
      <c r="B78" s="28" t="s">
        <v>118</v>
      </c>
      <c r="C78" s="46" t="s">
        <v>22</v>
      </c>
      <c r="D78" s="38">
        <f t="shared" si="11"/>
        <v>0</v>
      </c>
      <c r="E78" s="38" t="e">
        <f>#REF!-D78</f>
        <v>#REF!</v>
      </c>
      <c r="F78" s="47" t="s">
        <v>22</v>
      </c>
      <c r="G78" s="31" t="e">
        <f t="shared" si="12"/>
        <v>#VALUE!</v>
      </c>
      <c r="H78" s="46" t="s">
        <v>22</v>
      </c>
      <c r="I78" s="30" t="s">
        <v>22</v>
      </c>
      <c r="J78" s="31" t="e">
        <f t="shared" si="13"/>
        <v>#VALUE!</v>
      </c>
      <c r="K78" s="32" t="e">
        <f t="shared" si="15"/>
        <v>#VALUE!</v>
      </c>
      <c r="L78" s="33" t="e">
        <f t="shared" si="14"/>
        <v>#VALUE!</v>
      </c>
      <c r="M78" s="48"/>
      <c r="N78" s="48"/>
    </row>
    <row r="79" spans="1:14" s="8" customFormat="1" ht="46.5" hidden="1" customHeight="1" x14ac:dyDescent="0.3">
      <c r="A79" s="35" t="s">
        <v>119</v>
      </c>
      <c r="B79" s="36" t="s">
        <v>120</v>
      </c>
      <c r="C79" s="43" t="s">
        <v>22</v>
      </c>
      <c r="D79" s="38">
        <f t="shared" si="11"/>
        <v>0</v>
      </c>
      <c r="E79" s="38" t="e">
        <f>#REF!-D79</f>
        <v>#REF!</v>
      </c>
      <c r="F79" s="44" t="s">
        <v>22</v>
      </c>
      <c r="G79" s="31" t="e">
        <f t="shared" si="12"/>
        <v>#VALUE!</v>
      </c>
      <c r="H79" s="43" t="s">
        <v>22</v>
      </c>
      <c r="I79" s="40" t="s">
        <v>22</v>
      </c>
      <c r="J79" s="31" t="e">
        <f t="shared" si="13"/>
        <v>#VALUE!</v>
      </c>
      <c r="K79" s="32" t="e">
        <f t="shared" si="15"/>
        <v>#VALUE!</v>
      </c>
      <c r="L79" s="33" t="e">
        <f t="shared" si="14"/>
        <v>#VALUE!</v>
      </c>
      <c r="M79" s="45"/>
      <c r="N79" s="45"/>
    </row>
    <row r="80" spans="1:14" s="8" customFormat="1" ht="28.5" hidden="1" customHeight="1" x14ac:dyDescent="0.3">
      <c r="A80" s="27" t="s">
        <v>121</v>
      </c>
      <c r="B80" s="28" t="s">
        <v>122</v>
      </c>
      <c r="C80" s="46" t="s">
        <v>22</v>
      </c>
      <c r="D80" s="38">
        <f t="shared" si="11"/>
        <v>0</v>
      </c>
      <c r="E80" s="38" t="e">
        <f>#REF!-D80</f>
        <v>#REF!</v>
      </c>
      <c r="F80" s="47" t="s">
        <v>22</v>
      </c>
      <c r="G80" s="31" t="e">
        <f t="shared" si="12"/>
        <v>#VALUE!</v>
      </c>
      <c r="H80" s="46" t="s">
        <v>22</v>
      </c>
      <c r="I80" s="30" t="s">
        <v>22</v>
      </c>
      <c r="J80" s="31" t="e">
        <f t="shared" si="13"/>
        <v>#VALUE!</v>
      </c>
      <c r="K80" s="32" t="e">
        <f t="shared" si="15"/>
        <v>#VALUE!</v>
      </c>
      <c r="L80" s="33" t="e">
        <f t="shared" si="14"/>
        <v>#VALUE!</v>
      </c>
      <c r="M80" s="48"/>
      <c r="N80" s="48"/>
    </row>
    <row r="81" spans="1:14" s="8" customFormat="1" ht="18" hidden="1" customHeight="1" x14ac:dyDescent="0.3">
      <c r="A81" s="35" t="s">
        <v>123</v>
      </c>
      <c r="B81" s="36" t="s">
        <v>124</v>
      </c>
      <c r="C81" s="43" t="s">
        <v>22</v>
      </c>
      <c r="D81" s="38">
        <f t="shared" si="11"/>
        <v>0</v>
      </c>
      <c r="E81" s="38" t="e">
        <f>#REF!-D81</f>
        <v>#REF!</v>
      </c>
      <c r="F81" s="44" t="s">
        <v>22</v>
      </c>
      <c r="G81" s="31" t="e">
        <f t="shared" si="12"/>
        <v>#VALUE!</v>
      </c>
      <c r="H81" s="43" t="s">
        <v>22</v>
      </c>
      <c r="I81" s="40" t="s">
        <v>22</v>
      </c>
      <c r="J81" s="31" t="e">
        <f t="shared" si="13"/>
        <v>#VALUE!</v>
      </c>
      <c r="K81" s="32" t="e">
        <f t="shared" si="15"/>
        <v>#VALUE!</v>
      </c>
      <c r="L81" s="33" t="e">
        <f t="shared" si="14"/>
        <v>#VALUE!</v>
      </c>
      <c r="M81" s="45"/>
      <c r="N81" s="45"/>
    </row>
    <row r="82" spans="1:14" s="26" customFormat="1" ht="12.75" hidden="1" customHeight="1" x14ac:dyDescent="0.25">
      <c r="A82" s="18" t="s">
        <v>125</v>
      </c>
      <c r="B82" s="59" t="s">
        <v>126</v>
      </c>
      <c r="C82" s="60" t="s">
        <v>22</v>
      </c>
      <c r="D82" s="38">
        <f t="shared" si="11"/>
        <v>0</v>
      </c>
      <c r="E82" s="38" t="e">
        <f>#REF!-D82</f>
        <v>#REF!</v>
      </c>
      <c r="F82" s="61" t="s">
        <v>22</v>
      </c>
      <c r="G82" s="31" t="e">
        <f t="shared" si="12"/>
        <v>#VALUE!</v>
      </c>
      <c r="H82" s="60" t="s">
        <v>22</v>
      </c>
      <c r="I82" s="62" t="s">
        <v>22</v>
      </c>
      <c r="J82" s="31" t="e">
        <f t="shared" si="13"/>
        <v>#VALUE!</v>
      </c>
      <c r="K82" s="32" t="e">
        <f t="shared" si="15"/>
        <v>#VALUE!</v>
      </c>
      <c r="L82" s="33" t="e">
        <f t="shared" si="14"/>
        <v>#VALUE!</v>
      </c>
      <c r="M82" s="63"/>
      <c r="N82" s="63"/>
    </row>
    <row r="83" spans="1:14" s="8" customFormat="1" ht="12.75" hidden="1" customHeight="1" x14ac:dyDescent="0.3">
      <c r="A83" s="27" t="s">
        <v>127</v>
      </c>
      <c r="B83" s="28" t="s">
        <v>128</v>
      </c>
      <c r="C83" s="46" t="s">
        <v>22</v>
      </c>
      <c r="D83" s="38">
        <f t="shared" si="11"/>
        <v>0</v>
      </c>
      <c r="E83" s="38" t="e">
        <f>#REF!-D83</f>
        <v>#REF!</v>
      </c>
      <c r="F83" s="47" t="s">
        <v>22</v>
      </c>
      <c r="G83" s="31" t="e">
        <f t="shared" si="12"/>
        <v>#VALUE!</v>
      </c>
      <c r="H83" s="46" t="s">
        <v>22</v>
      </c>
      <c r="I83" s="30" t="s">
        <v>22</v>
      </c>
      <c r="J83" s="31" t="e">
        <f t="shared" si="13"/>
        <v>#VALUE!</v>
      </c>
      <c r="K83" s="32" t="e">
        <f t="shared" si="15"/>
        <v>#VALUE!</v>
      </c>
      <c r="L83" s="33" t="e">
        <f t="shared" si="14"/>
        <v>#VALUE!</v>
      </c>
      <c r="M83" s="48"/>
      <c r="N83" s="48"/>
    </row>
    <row r="84" spans="1:14" s="8" customFormat="1" ht="51" hidden="1" customHeight="1" x14ac:dyDescent="0.3">
      <c r="A84" s="35" t="s">
        <v>129</v>
      </c>
      <c r="B84" s="36" t="s">
        <v>130</v>
      </c>
      <c r="C84" s="43" t="s">
        <v>22</v>
      </c>
      <c r="D84" s="38">
        <f t="shared" si="11"/>
        <v>0</v>
      </c>
      <c r="E84" s="38" t="e">
        <f>#REF!-D84</f>
        <v>#REF!</v>
      </c>
      <c r="F84" s="44" t="s">
        <v>22</v>
      </c>
      <c r="G84" s="31" t="e">
        <f t="shared" si="12"/>
        <v>#VALUE!</v>
      </c>
      <c r="H84" s="43" t="s">
        <v>22</v>
      </c>
      <c r="I84" s="40" t="s">
        <v>22</v>
      </c>
      <c r="J84" s="31" t="e">
        <f t="shared" si="13"/>
        <v>#VALUE!</v>
      </c>
      <c r="K84" s="32" t="e">
        <f t="shared" si="15"/>
        <v>#VALUE!</v>
      </c>
      <c r="L84" s="33" t="e">
        <f t="shared" si="14"/>
        <v>#VALUE!</v>
      </c>
      <c r="M84" s="45"/>
      <c r="N84" s="45"/>
    </row>
    <row r="85" spans="1:14" s="8" customFormat="1" ht="68.25" hidden="1" customHeight="1" x14ac:dyDescent="0.25">
      <c r="A85" s="64" t="s">
        <v>131</v>
      </c>
      <c r="B85" s="65" t="s">
        <v>132</v>
      </c>
      <c r="C85" s="67" t="s">
        <v>22</v>
      </c>
      <c r="D85" s="38">
        <f t="shared" si="11"/>
        <v>0</v>
      </c>
      <c r="E85" s="38" t="e">
        <f>#REF!-D85</f>
        <v>#REF!</v>
      </c>
      <c r="F85" s="68" t="s">
        <v>22</v>
      </c>
      <c r="G85" s="31" t="e">
        <f t="shared" si="12"/>
        <v>#VALUE!</v>
      </c>
      <c r="H85" s="67" t="s">
        <v>22</v>
      </c>
      <c r="I85" s="66" t="s">
        <v>22</v>
      </c>
      <c r="J85" s="31" t="e">
        <f t="shared" si="13"/>
        <v>#VALUE!</v>
      </c>
      <c r="K85" s="32" t="e">
        <f t="shared" si="15"/>
        <v>#VALUE!</v>
      </c>
      <c r="L85" s="33" t="e">
        <f t="shared" si="14"/>
        <v>#VALUE!</v>
      </c>
      <c r="M85" s="69"/>
      <c r="N85" s="69"/>
    </row>
    <row r="86" spans="1:14" s="8" customFormat="1" ht="28.5" hidden="1" customHeight="1" x14ac:dyDescent="0.25">
      <c r="A86" s="64">
        <v>50110002</v>
      </c>
      <c r="B86" s="65" t="s">
        <v>133</v>
      </c>
      <c r="C86" s="67" t="s">
        <v>22</v>
      </c>
      <c r="D86" s="38">
        <f t="shared" si="11"/>
        <v>0</v>
      </c>
      <c r="E86" s="38" t="e">
        <f>#REF!-D86</f>
        <v>#REF!</v>
      </c>
      <c r="F86" s="68" t="s">
        <v>22</v>
      </c>
      <c r="G86" s="31" t="e">
        <f t="shared" si="12"/>
        <v>#VALUE!</v>
      </c>
      <c r="H86" s="67" t="s">
        <v>22</v>
      </c>
      <c r="I86" s="66" t="s">
        <v>22</v>
      </c>
      <c r="J86" s="31" t="e">
        <f t="shared" si="13"/>
        <v>#VALUE!</v>
      </c>
      <c r="K86" s="32" t="e">
        <f t="shared" si="15"/>
        <v>#VALUE!</v>
      </c>
      <c r="L86" s="33" t="e">
        <f t="shared" si="14"/>
        <v>#VALUE!</v>
      </c>
      <c r="M86" s="69"/>
      <c r="N86" s="69"/>
    </row>
    <row r="87" spans="1:14" s="8" customFormat="1" ht="27" hidden="1" customHeight="1" x14ac:dyDescent="0.25">
      <c r="A87" s="85">
        <v>50110003</v>
      </c>
      <c r="B87" s="86" t="s">
        <v>134</v>
      </c>
      <c r="C87" s="32" t="s">
        <v>22</v>
      </c>
      <c r="D87" s="38">
        <f t="shared" si="11"/>
        <v>0</v>
      </c>
      <c r="E87" s="38" t="e">
        <f>#REF!-D87</f>
        <v>#REF!</v>
      </c>
      <c r="F87" s="66" t="s">
        <v>22</v>
      </c>
      <c r="G87" s="31" t="e">
        <f t="shared" si="12"/>
        <v>#VALUE!</v>
      </c>
      <c r="H87" s="32" t="s">
        <v>22</v>
      </c>
      <c r="I87" s="66" t="s">
        <v>22</v>
      </c>
      <c r="J87" s="31" t="e">
        <f t="shared" si="13"/>
        <v>#VALUE!</v>
      </c>
      <c r="K87" s="32" t="e">
        <f t="shared" si="15"/>
        <v>#VALUE!</v>
      </c>
      <c r="L87" s="33" t="e">
        <f t="shared" si="14"/>
        <v>#VALUE!</v>
      </c>
      <c r="M87" s="71"/>
      <c r="N87" s="71"/>
    </row>
    <row r="88" spans="1:14" s="8" customFormat="1" ht="66.75" hidden="1" customHeight="1" x14ac:dyDescent="0.25">
      <c r="A88" s="64">
        <v>50110005</v>
      </c>
      <c r="B88" s="86" t="s">
        <v>135</v>
      </c>
      <c r="C88" s="67" t="s">
        <v>22</v>
      </c>
      <c r="D88" s="38">
        <f t="shared" si="11"/>
        <v>0</v>
      </c>
      <c r="E88" s="38" t="e">
        <f>#REF!-D88</f>
        <v>#REF!</v>
      </c>
      <c r="F88" s="68" t="s">
        <v>22</v>
      </c>
      <c r="G88" s="31" t="e">
        <f t="shared" si="12"/>
        <v>#VALUE!</v>
      </c>
      <c r="H88" s="67" t="s">
        <v>22</v>
      </c>
      <c r="I88" s="66" t="s">
        <v>22</v>
      </c>
      <c r="J88" s="31" t="e">
        <f t="shared" si="13"/>
        <v>#VALUE!</v>
      </c>
      <c r="K88" s="32" t="e">
        <f t="shared" si="15"/>
        <v>#VALUE!</v>
      </c>
      <c r="L88" s="33" t="e">
        <f t="shared" si="14"/>
        <v>#VALUE!</v>
      </c>
      <c r="M88" s="69"/>
      <c r="N88" s="69"/>
    </row>
    <row r="89" spans="1:14" s="8" customFormat="1" ht="40.5" hidden="1" customHeight="1" x14ac:dyDescent="0.25">
      <c r="A89" s="85">
        <v>50110006</v>
      </c>
      <c r="B89" s="86" t="s">
        <v>136</v>
      </c>
      <c r="C89" s="32" t="s">
        <v>22</v>
      </c>
      <c r="D89" s="38">
        <f t="shared" si="11"/>
        <v>0</v>
      </c>
      <c r="E89" s="38" t="e">
        <f>#REF!-D89</f>
        <v>#REF!</v>
      </c>
      <c r="F89" s="66" t="s">
        <v>22</v>
      </c>
      <c r="G89" s="31" t="e">
        <f t="shared" si="12"/>
        <v>#VALUE!</v>
      </c>
      <c r="H89" s="32" t="s">
        <v>22</v>
      </c>
      <c r="I89" s="66" t="s">
        <v>22</v>
      </c>
      <c r="J89" s="31" t="e">
        <f t="shared" si="13"/>
        <v>#VALUE!</v>
      </c>
      <c r="K89" s="32" t="e">
        <f t="shared" si="15"/>
        <v>#VALUE!</v>
      </c>
      <c r="L89" s="33" t="e">
        <f t="shared" si="14"/>
        <v>#VALUE!</v>
      </c>
      <c r="M89" s="71"/>
      <c r="N89" s="71"/>
    </row>
    <row r="90" spans="1:14" s="8" customFormat="1" ht="31.5" hidden="1" customHeight="1" x14ac:dyDescent="0.25">
      <c r="A90" s="87">
        <v>50110009</v>
      </c>
      <c r="B90" s="65" t="s">
        <v>137</v>
      </c>
      <c r="C90" s="67"/>
      <c r="D90" s="38">
        <f t="shared" si="11"/>
        <v>0</v>
      </c>
      <c r="E90" s="38" t="e">
        <f>#REF!-D90</f>
        <v>#REF!</v>
      </c>
      <c r="F90" s="68"/>
      <c r="G90" s="31" t="e">
        <f t="shared" si="12"/>
        <v>#DIV/0!</v>
      </c>
      <c r="H90" s="67"/>
      <c r="I90" s="66"/>
      <c r="J90" s="31" t="e">
        <f t="shared" si="13"/>
        <v>#DIV/0!</v>
      </c>
      <c r="K90" s="32">
        <f t="shared" si="15"/>
        <v>0</v>
      </c>
      <c r="L90" s="33" t="e">
        <f t="shared" si="14"/>
        <v>#DIV/0!</v>
      </c>
      <c r="M90" s="69"/>
      <c r="N90" s="69"/>
    </row>
    <row r="91" spans="1:14" s="8" customFormat="1" ht="66.75" hidden="1" customHeight="1" x14ac:dyDescent="0.25">
      <c r="A91" s="87"/>
      <c r="B91" s="88"/>
      <c r="C91" s="89"/>
      <c r="D91" s="38">
        <f t="shared" si="11"/>
        <v>0</v>
      </c>
      <c r="E91" s="38" t="e">
        <f>#REF!-D91</f>
        <v>#REF!</v>
      </c>
      <c r="F91" s="90"/>
      <c r="G91" s="31" t="e">
        <f t="shared" si="12"/>
        <v>#DIV/0!</v>
      </c>
      <c r="H91" s="89"/>
      <c r="I91" s="91"/>
      <c r="J91" s="31" t="e">
        <f t="shared" si="13"/>
        <v>#DIV/0!</v>
      </c>
      <c r="K91" s="32">
        <f t="shared" si="15"/>
        <v>0</v>
      </c>
      <c r="L91" s="33" t="e">
        <f t="shared" si="14"/>
        <v>#DIV/0!</v>
      </c>
      <c r="M91" s="69"/>
      <c r="N91" s="69"/>
    </row>
    <row r="92" spans="1:14" s="8" customFormat="1" ht="4.5" hidden="1" customHeight="1" thickBot="1" x14ac:dyDescent="0.3">
      <c r="A92" s="87"/>
      <c r="B92" s="65"/>
      <c r="C92" s="89"/>
      <c r="D92" s="38">
        <f t="shared" si="11"/>
        <v>0</v>
      </c>
      <c r="E92" s="38" t="e">
        <f>#REF!-D92</f>
        <v>#REF!</v>
      </c>
      <c r="F92" s="90"/>
      <c r="G92" s="31" t="e">
        <f t="shared" si="12"/>
        <v>#DIV/0!</v>
      </c>
      <c r="H92" s="89"/>
      <c r="I92" s="91"/>
      <c r="J92" s="31" t="e">
        <f t="shared" si="13"/>
        <v>#DIV/0!</v>
      </c>
      <c r="K92" s="32">
        <f t="shared" si="15"/>
        <v>0</v>
      </c>
      <c r="L92" s="33" t="e">
        <f t="shared" si="14"/>
        <v>#DIV/0!</v>
      </c>
      <c r="M92" s="69"/>
      <c r="N92" s="69"/>
    </row>
    <row r="93" spans="1:14" s="8" customFormat="1" ht="40.5" customHeight="1" x14ac:dyDescent="0.25">
      <c r="A93" s="64">
        <v>31020000</v>
      </c>
      <c r="B93" s="36" t="s">
        <v>138</v>
      </c>
      <c r="C93" s="67"/>
      <c r="D93" s="38">
        <f t="shared" si="11"/>
        <v>0</v>
      </c>
      <c r="E93" s="38" t="e">
        <f>#REF!-D93</f>
        <v>#REF!</v>
      </c>
      <c r="F93" s="68">
        <v>4.0169999999999997E-2</v>
      </c>
      <c r="G93" s="31"/>
      <c r="H93" s="67"/>
      <c r="I93" s="66">
        <f>0.51982</f>
        <v>0.51981999999999995</v>
      </c>
      <c r="J93" s="31"/>
      <c r="K93" s="32">
        <f t="shared" si="15"/>
        <v>-0.47964999999999997</v>
      </c>
      <c r="L93" s="33"/>
      <c r="M93" s="69"/>
      <c r="N93" s="69"/>
    </row>
    <row r="94" spans="1:14" s="1" customFormat="1" ht="18.75" customHeight="1" thickBot="1" x14ac:dyDescent="0.3">
      <c r="A94" s="92"/>
      <c r="B94" s="93" t="s">
        <v>139</v>
      </c>
      <c r="C94" s="94">
        <f>C6+C37+C67+C93</f>
        <v>1285572.5</v>
      </c>
      <c r="D94" s="95">
        <f t="shared" si="11"/>
        <v>1285572.5</v>
      </c>
      <c r="E94" s="95" t="e">
        <f>#REF!-D94</f>
        <v>#REF!</v>
      </c>
      <c r="F94" s="96">
        <f>F6+F37+F67+F93</f>
        <v>1030313.8080650002</v>
      </c>
      <c r="G94" s="94">
        <f>F94/C94*100</f>
        <v>80.144356546596967</v>
      </c>
      <c r="H94" s="94">
        <f>H6+H37+H67+H93</f>
        <v>1236115.1000000003</v>
      </c>
      <c r="I94" s="97">
        <f>I6+I37+I67+I93</f>
        <v>969905.74259000004</v>
      </c>
      <c r="J94" s="94">
        <f>I94/H94*100</f>
        <v>78.464031593012635</v>
      </c>
      <c r="K94" s="98">
        <f t="shared" si="15"/>
        <v>60408.065475000185</v>
      </c>
      <c r="L94" s="99">
        <f>F94/I94*100</f>
        <v>106.22824083025726</v>
      </c>
      <c r="M94" s="100"/>
      <c r="N94" s="100"/>
    </row>
    <row r="95" spans="1:14" s="26" customFormat="1" ht="18.75" thickBot="1" x14ac:dyDescent="0.3">
      <c r="A95" s="101" t="s">
        <v>140</v>
      </c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3"/>
    </row>
    <row r="96" spans="1:14" s="8" customFormat="1" ht="71.25" customHeight="1" thickBot="1" x14ac:dyDescent="0.3">
      <c r="A96" s="104">
        <v>50110004</v>
      </c>
      <c r="B96" s="105" t="s">
        <v>141</v>
      </c>
      <c r="C96" s="106">
        <v>5000</v>
      </c>
      <c r="D96" s="107"/>
      <c r="E96" s="107"/>
      <c r="F96" s="107">
        <f>5082.621</f>
        <v>5082.6210000000001</v>
      </c>
      <c r="G96" s="108">
        <f>F96/C96*100</f>
        <v>101.65242000000001</v>
      </c>
      <c r="H96" s="109">
        <v>7121.9</v>
      </c>
      <c r="I96" s="110">
        <f>4740.42754</f>
        <v>4740.4275399999997</v>
      </c>
      <c r="J96" s="111">
        <f>I96/H96*100</f>
        <v>66.56127634479563</v>
      </c>
      <c r="K96" s="112">
        <f>F96-I96</f>
        <v>342.19346000000041</v>
      </c>
      <c r="L96" s="113">
        <f>F96/I96*100</f>
        <v>107.21862020065811</v>
      </c>
    </row>
    <row r="97" spans="1:12" s="8" customFormat="1" ht="18.75" hidden="1" x14ac:dyDescent="0.3">
      <c r="A97" s="114"/>
      <c r="B97" s="115"/>
      <c r="C97" s="45"/>
      <c r="D97" s="116"/>
      <c r="E97" s="116"/>
      <c r="F97" s="116"/>
      <c r="G97" s="117"/>
      <c r="H97" s="118"/>
      <c r="I97" s="118"/>
      <c r="J97" s="117"/>
      <c r="K97" s="25"/>
      <c r="L97" s="71"/>
    </row>
    <row r="98" spans="1:12" s="8" customFormat="1" ht="18.75" hidden="1" x14ac:dyDescent="0.3">
      <c r="A98" s="114"/>
      <c r="B98" s="115"/>
      <c r="C98" s="45"/>
      <c r="D98" s="116"/>
      <c r="E98" s="116"/>
      <c r="F98" s="116"/>
      <c r="G98" s="117"/>
      <c r="H98" s="118"/>
      <c r="I98" s="118"/>
      <c r="J98" s="117"/>
      <c r="K98" s="25"/>
      <c r="L98" s="71"/>
    </row>
    <row r="99" spans="1:12" s="8" customFormat="1" ht="18.75" hidden="1" x14ac:dyDescent="0.3">
      <c r="A99" s="114"/>
      <c r="B99" s="115"/>
      <c r="C99" s="45"/>
      <c r="D99" s="116"/>
      <c r="E99" s="116"/>
      <c r="F99" s="116"/>
      <c r="G99" s="117"/>
      <c r="H99" s="118"/>
      <c r="I99" s="118"/>
      <c r="J99" s="117"/>
      <c r="K99" s="25"/>
      <c r="L99" s="71"/>
    </row>
    <row r="100" spans="1:12" s="8" customFormat="1" ht="18.75" hidden="1" x14ac:dyDescent="0.3">
      <c r="A100" s="114"/>
      <c r="B100" s="115"/>
      <c r="C100" s="45"/>
      <c r="D100" s="116"/>
      <c r="E100" s="116"/>
      <c r="F100" s="116"/>
      <c r="G100" s="117"/>
      <c r="H100" s="118"/>
      <c r="I100" s="118"/>
      <c r="J100" s="117"/>
      <c r="K100" s="25"/>
      <c r="L100" s="71"/>
    </row>
    <row r="101" spans="1:12" s="8" customFormat="1" ht="18.75" hidden="1" x14ac:dyDescent="0.3">
      <c r="A101" s="119"/>
      <c r="B101" s="120"/>
      <c r="C101" s="121"/>
      <c r="D101" s="116"/>
      <c r="E101" s="116"/>
      <c r="F101" s="116"/>
      <c r="G101" s="117"/>
      <c r="H101" s="118"/>
      <c r="I101" s="118"/>
      <c r="J101" s="117"/>
      <c r="K101" s="25"/>
      <c r="L101" s="71"/>
    </row>
    <row r="102" spans="1:12" s="8" customFormat="1" ht="18.75" hidden="1" x14ac:dyDescent="0.3">
      <c r="A102" s="122"/>
      <c r="B102" s="115"/>
      <c r="C102" s="121"/>
      <c r="D102" s="116"/>
      <c r="E102" s="116"/>
      <c r="F102" s="116"/>
      <c r="G102" s="117"/>
      <c r="H102" s="118"/>
      <c r="I102" s="118"/>
      <c r="J102" s="117"/>
      <c r="K102" s="25"/>
      <c r="L102" s="71"/>
    </row>
    <row r="103" spans="1:12" s="8" customFormat="1" ht="18.75" hidden="1" x14ac:dyDescent="0.3">
      <c r="A103" s="122"/>
      <c r="B103" s="115"/>
      <c r="C103" s="123"/>
      <c r="D103" s="116"/>
      <c r="E103" s="116"/>
      <c r="F103" s="116"/>
      <c r="G103" s="117"/>
      <c r="H103" s="118"/>
      <c r="I103" s="118"/>
      <c r="J103" s="117"/>
      <c r="K103" s="25"/>
      <c r="L103" s="71"/>
    </row>
    <row r="104" spans="1:12" s="26" customFormat="1" hidden="1" x14ac:dyDescent="0.25">
      <c r="A104" s="124"/>
      <c r="B104" s="17"/>
      <c r="C104" s="125"/>
      <c r="D104" s="116"/>
      <c r="E104" s="116"/>
      <c r="F104" s="116"/>
      <c r="G104" s="117"/>
      <c r="H104" s="126"/>
      <c r="I104" s="126"/>
      <c r="J104" s="117"/>
      <c r="K104" s="25"/>
      <c r="L104" s="71"/>
    </row>
    <row r="105" spans="1:12" s="8" customFormat="1" ht="18.75" hidden="1" x14ac:dyDescent="0.3">
      <c r="A105" s="119"/>
      <c r="B105" s="120"/>
      <c r="C105" s="127"/>
      <c r="D105" s="116"/>
      <c r="E105" s="116"/>
      <c r="F105" s="116"/>
      <c r="G105" s="117"/>
      <c r="H105" s="118"/>
      <c r="I105" s="118"/>
      <c r="J105" s="117"/>
      <c r="K105" s="25"/>
      <c r="L105" s="71"/>
    </row>
    <row r="106" spans="1:12" s="8" customFormat="1" ht="18.75" hidden="1" x14ac:dyDescent="0.3">
      <c r="A106" s="122"/>
      <c r="B106" s="115"/>
      <c r="C106" s="45"/>
      <c r="D106" s="116"/>
      <c r="E106" s="116"/>
      <c r="F106" s="116"/>
      <c r="G106" s="117"/>
      <c r="H106" s="118"/>
      <c r="I106" s="118"/>
      <c r="J106" s="117"/>
      <c r="K106" s="25"/>
      <c r="L106" s="71"/>
    </row>
    <row r="107" spans="1:12" s="1" customFormat="1" ht="16.5" customHeight="1" x14ac:dyDescent="0.25">
      <c r="A107" s="128"/>
      <c r="B107" s="129"/>
      <c r="C107" s="130"/>
      <c r="D107" s="116"/>
      <c r="E107" s="116"/>
      <c r="F107" s="116"/>
      <c r="G107" s="117"/>
      <c r="H107" s="128"/>
      <c r="I107" s="128"/>
      <c r="J107" s="117"/>
      <c r="K107" s="25"/>
      <c r="L107" s="71"/>
    </row>
    <row r="108" spans="1:12" ht="25.5" hidden="1" customHeight="1" x14ac:dyDescent="0.25">
      <c r="A108" s="1"/>
      <c r="B108" s="1"/>
      <c r="C108" s="1"/>
      <c r="E108" s="38"/>
      <c r="F108" s="38"/>
      <c r="G108" s="38"/>
      <c r="L108" s="71"/>
    </row>
    <row r="109" spans="1:12" ht="19.5" customHeight="1" x14ac:dyDescent="0.25">
      <c r="A109" s="131" t="s">
        <v>142</v>
      </c>
      <c r="B109" s="132"/>
      <c r="C109" s="133">
        <f>C8+C18+C20+C22+C23+C25+C29+C52+C63</f>
        <v>891503</v>
      </c>
      <c r="D109" s="133">
        <f>D8+D18+D20+D22+D23+D25+D29+D52+D63</f>
        <v>885566.7</v>
      </c>
      <c r="E109" s="133" t="e">
        <f>E8+E18+E20+E22+E23+E25+E29+E52+E63</f>
        <v>#REF!</v>
      </c>
      <c r="F109" s="133">
        <f>F8+F18+F20+F22+F23+F25+F29+F52+F63</f>
        <v>738449.34022500017</v>
      </c>
      <c r="G109" s="134">
        <f>F109/C109*100</f>
        <v>82.831952357423376</v>
      </c>
      <c r="H109" s="133">
        <f>H8+H18+H20+H22+H23+H25+H29+H52+H63</f>
        <v>769551.00000000012</v>
      </c>
      <c r="I109" s="133">
        <f>I8+I18+I20+I22+I23+I25+I29+I52+I63</f>
        <v>673819.94092000008</v>
      </c>
      <c r="J109" s="134">
        <f>I109/H109*100</f>
        <v>87.560141032888012</v>
      </c>
      <c r="K109" s="71">
        <f>F109-I109</f>
        <v>64629.399305000086</v>
      </c>
      <c r="L109" s="71">
        <f>F109/I109*100</f>
        <v>109.59149401496762</v>
      </c>
    </row>
    <row r="110" spans="1:12" ht="15.75" customHeight="1" x14ac:dyDescent="0.25">
      <c r="A110" s="132" t="s">
        <v>143</v>
      </c>
      <c r="B110" s="132"/>
      <c r="C110" s="133">
        <f>C9+C10+C16+C19+C21+C26+C27+C28+C30+C31+C36+C51+C53+C54+C55+C56+C57+C58+C59+C41+C62+C66+C45+C46+C47+C65+C67+C93</f>
        <v>394069.50000000012</v>
      </c>
      <c r="D110" s="133">
        <f>D9+D10+D16+D19+D21+D26+D27+D28+D30+D31+D36+D51+D53+D54+D55+D56+D57+D58+D59+D41+D62+D66+D45+D46+D47+D65+D67+D93</f>
        <v>369672.80000000005</v>
      </c>
      <c r="E110" s="133" t="e">
        <f>E9+E10+E16+E19+E21+E26+E27+E28+E30+E31+E36+E51+E53+E54+E55+E56+E57+E58+E59+E41+E62+E66+E45+E46+E47+E65+E67+E93</f>
        <v>#REF!</v>
      </c>
      <c r="F110" s="133">
        <f>F9+F10+F16+F19+F21+F26+F27+F28+F30+F31+F36+F51+F53+F54+F55+F56+F57+F58+F59+F41+F62+F66+F45+F46+F47+F65+F67+F93</f>
        <v>291864.46784000006</v>
      </c>
      <c r="G110" s="134">
        <f>F110/C110*100</f>
        <v>74.064211475386941</v>
      </c>
      <c r="H110" s="133">
        <f>H9+H10+H16+H19+H21+H26+H27+H28+H30+H31+H36+H51+H53+H54+H55+H56+H57+H58+H59+H41+H62+H66+H45+H46+H47+H65+H67+H93</f>
        <v>466564.09999999992</v>
      </c>
      <c r="I110" s="133">
        <f>I9+I10+I16+I19+I21+I26+I27+I28+I30+I31+I36+I51+I53+I54+I55+I56+I57+I58+I59+I41+I62+I66+I45+I46+I47+I65+I67+I93</f>
        <v>296085.80167000002</v>
      </c>
      <c r="J110" s="134">
        <f>I110/H110*100</f>
        <v>63.460905301115119</v>
      </c>
      <c r="K110" s="71">
        <f>F110-I110</f>
        <v>-4221.3338299999596</v>
      </c>
      <c r="L110" s="71">
        <f>F110/I110*100</f>
        <v>98.574286978237197</v>
      </c>
    </row>
    <row r="111" spans="1:12" x14ac:dyDescent="0.25">
      <c r="B111" s="131"/>
      <c r="C111" s="135"/>
      <c r="J111" s="134"/>
      <c r="L111" s="71"/>
    </row>
    <row r="112" spans="1:12" ht="58.5" customHeight="1" x14ac:dyDescent="0.25">
      <c r="C112" s="135"/>
    </row>
    <row r="113" spans="3:3" x14ac:dyDescent="0.25">
      <c r="C113" s="135"/>
    </row>
    <row r="115" spans="3:3" x14ac:dyDescent="0.25">
      <c r="C115" s="135"/>
    </row>
    <row r="116" spans="3:3" x14ac:dyDescent="0.25">
      <c r="C116" s="135"/>
    </row>
    <row r="117" spans="3:3" x14ac:dyDescent="0.25">
      <c r="C117" s="135"/>
    </row>
  </sheetData>
  <mergeCells count="3">
    <mergeCell ref="A2:L2"/>
    <mergeCell ref="A4:C4"/>
    <mergeCell ref="A95:L95"/>
  </mergeCells>
  <pageMargins left="0.52" right="0.44" top="0.17" bottom="0.16" header="0.17" footer="0.16"/>
  <pageSetup paperSize="9" scale="49" orientation="landscape" r:id="rId1"/>
  <headerFooter alignWithMargins="0"/>
  <rowBreaks count="1" manualBreakCount="1">
    <brk id="4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порівняння за листопад</vt:lpstr>
      <vt:lpstr>'порівняння за листопад'!Область_печати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</dc:creator>
  <cp:lastModifiedBy>9</cp:lastModifiedBy>
  <dcterms:created xsi:type="dcterms:W3CDTF">2014-02-06T15:32:40Z</dcterms:created>
  <dcterms:modified xsi:type="dcterms:W3CDTF">2014-02-06T15:33:42Z</dcterms:modified>
</cp:coreProperties>
</file>